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F7AF" lockStructure="1"/>
  <bookViews>
    <workbookView xWindow="-15" yWindow="105" windowWidth="15420" windowHeight="8130" tabRatio="539"/>
  </bookViews>
  <sheets>
    <sheet name="Onthaal " sheetId="8" r:id="rId1"/>
    <sheet name="Parameters " sheetId="1" r:id="rId2"/>
    <sheet name="20 Km 5 train." sheetId="11" r:id="rId3"/>
    <sheet name="20 Km 4 train." sheetId="2" r:id="rId4"/>
    <sheet name="20 Km 3 train." sheetId="10" r:id="rId5"/>
    <sheet name="constantes" sheetId="12" state="hidden" r:id="rId6"/>
    <sheet name="MAS" sheetId="9" r:id="rId7"/>
  </sheets>
  <externalReferences>
    <externalReference r:id="rId8"/>
  </externalReferences>
  <definedNames>
    <definedName name="_60__Endurance_facile">#REF!</definedName>
    <definedName name="_vo2">'Parameters '!$C$15</definedName>
    <definedName name="al_marathon">'Parameters '!$F$21</definedName>
    <definedName name="al_semi">constantes!$D$28</definedName>
    <definedName name="allure_vma">'Parameters '!$C$19</definedName>
    <definedName name="allure_vma_sec">'Parameters '!$C$21</definedName>
    <definedName name="C3.1">#REF!</definedName>
    <definedName name="C3.2">#REF!</definedName>
    <definedName name="cat_km">'Parameters '!$C$11</definedName>
    <definedName name="cat_kmh">'Parameters '!$C$14</definedName>
    <definedName name="cat_object">'Parameters '!$F$12</definedName>
    <definedName name="cat_sec">'Parameters '!$C$12</definedName>
    <definedName name="cat_test_3">'Parameters '!$C$10</definedName>
    <definedName name="cat_vitesse">'Parameters '!$C$13</definedName>
    <definedName name="D_test">'Parameters '!$C$9</definedName>
    <definedName name="date_10">'Parameters '!#REF!</definedName>
    <definedName name="dist_marathon">constantes!$B$31</definedName>
    <definedName name="dist_semi">constantes!$B$32</definedName>
    <definedName name="dist_vma">'Parameters '!$C$18</definedName>
    <definedName name="dist_vma_min">constantes!$B$30</definedName>
    <definedName name="endurance">'Parameters '!$F$19</definedName>
    <definedName name="facile">constantes!$D$29</definedName>
    <definedName name="fc_100">constantes!$D$25</definedName>
    <definedName name="fc_1200">constantes!$B$17</definedName>
    <definedName name="fc_200">constantes!$B$11</definedName>
    <definedName name="fc_300">constantes!$B$12</definedName>
    <definedName name="fc_3000">'Parameters '!$D$10</definedName>
    <definedName name="fc_400">constantes!$B$13</definedName>
    <definedName name="fc_500">constantes!$B$14</definedName>
    <definedName name="fc_700">constantes!$B$15</definedName>
    <definedName name="fc_800">constantes!$B$16</definedName>
    <definedName name="fc_ana">'Parameters '!$D$22</definedName>
    <definedName name="fc_competition">constantes!$D$17</definedName>
    <definedName name="fc_endur">'Parameters '!#REF!</definedName>
    <definedName name="fc_marathon">'Parameters '!$D$24</definedName>
    <definedName name="fc_max">'Parameters '!$D$17</definedName>
    <definedName name="fc_repos">'Parameters '!$D$16</definedName>
    <definedName name="fc_semi">constantes!$B$18</definedName>
    <definedName name="fc_x">constantes!$D$24</definedName>
    <definedName name="ind_vma">constantes!$B$29</definedName>
    <definedName name="k_10">constantes!$B$28</definedName>
    <definedName name="k_aero">constantes!$B$23</definedName>
    <definedName name="k_anaero">constantes!$B$22</definedName>
    <definedName name="K_facile">constantes!$B$34</definedName>
    <definedName name="k_marat">constantes!$B$26</definedName>
    <definedName name="k_recup">constantes!$B$25</definedName>
    <definedName name="k_semi">constantes!$B$27</definedName>
    <definedName name="k_semi_2">constantes!$B$24</definedName>
    <definedName name="K_test">constantes!$B$33</definedName>
    <definedName name="k_vma">constantes!$B$21</definedName>
    <definedName name="marathon">'Parameters '!$F$21</definedName>
    <definedName name="mdate">'Parameters '!$F$10</definedName>
    <definedName name="objectif">'Parameters '!$F$9</definedName>
    <definedName name="R_100">constantes!$F$10</definedName>
    <definedName name="R_1000">constantes!$F$16</definedName>
    <definedName name="R_200">constantes!$F$11</definedName>
    <definedName name="R_300">constantes!$F$12</definedName>
    <definedName name="R_400">constantes!$F$13</definedName>
    <definedName name="R_500">constantes!$F$14</definedName>
    <definedName name="rapport">constantes!$D$18</definedName>
    <definedName name="recup">'Parameters '!$C$23</definedName>
    <definedName name="serie_100" localSheetId="4">'20 Km 3 train.'!$H$8</definedName>
    <definedName name="serie_100" localSheetId="2">'20 Km 5 train.'!$H$8</definedName>
    <definedName name="serie_100">'20 Km 4 train.'!$H$8</definedName>
    <definedName name="seuil">constantes!$D$30</definedName>
    <definedName name="seuil_aero">'Parameters '!#REF!</definedName>
    <definedName name="seuil_ana">'Parameters '!$C$22</definedName>
    <definedName name="seuil_ana_obj">'Parameters '!$F$18</definedName>
    <definedName name="T_100">constantes!$D$10</definedName>
    <definedName name="T_1000">constantes!$D$16</definedName>
    <definedName name="T_10k">constantes!$D$26</definedName>
    <definedName name="T_200">constantes!$D$11</definedName>
    <definedName name="T_300">constantes!$D$12</definedName>
    <definedName name="t_3000">constantes!$D$20</definedName>
    <definedName name="T_400">constantes!$D$13</definedName>
    <definedName name="t_4000">constantes!$D$21</definedName>
    <definedName name="T_500">constantes!$D$14</definedName>
    <definedName name="T_semi">constantes!$D$27</definedName>
    <definedName name="t_th_marathon">'Parameters '!$C$25</definedName>
    <definedName name="t_th_semi">'Parameters '!#REF!</definedName>
    <definedName name="t_x">constantes!$D$22</definedName>
    <definedName name="TABLE" localSheetId="6">MAS!$H$23:$J$23</definedName>
    <definedName name="TABLE">#REF!</definedName>
    <definedName name="TABLE_2" localSheetId="6">MAS!$F$29:$G$29</definedName>
    <definedName name="TABLE_2">#REF!</definedName>
    <definedName name="TABLE_3" localSheetId="6">MAS!$H$29:$J$29</definedName>
    <definedName name="TABLE_3">#REF!</definedName>
    <definedName name="TABLE_4" localSheetId="6">MAS!$D$31:$E$31</definedName>
    <definedName name="TABLE_4">#REF!</definedName>
    <definedName name="TABLE_5" localSheetId="6">MAS!$B$20:$K$35</definedName>
    <definedName name="TABLE_5">#REF!</definedName>
    <definedName name="theo_marathon">'Parameters '!$C$24</definedName>
    <definedName name="v_vma">'Parameters '!$F$15</definedName>
    <definedName name="v_vma_obj_kmh">'Parameters '!$F$16</definedName>
    <definedName name="vma_10" localSheetId="6">[1]constantes!#REF!</definedName>
    <definedName name="vma_100" localSheetId="6">[1]constantes!#REF!</definedName>
    <definedName name="vma_1000_obj">'Parameters '!$F$14</definedName>
    <definedName name="vma_200" localSheetId="6">[1]constantes!#REF!</definedName>
    <definedName name="VMA_kmh">'Parameters '!$C$20</definedName>
    <definedName name="vma_obj_km">'Parameters '!$F$13</definedName>
    <definedName name="z_travail">constantes!$B$19</definedName>
    <definedName name="_xlnm.Print_Area" localSheetId="4">'20 Km 3 train.'!$C$2:$R$36</definedName>
    <definedName name="_xlnm.Print_Area" localSheetId="3">'20 Km 4 train.'!$C$3:$R$36</definedName>
    <definedName name="_xlnm.Print_Area" localSheetId="2">'20 Km 5 train.'!$C$3:$R$36</definedName>
    <definedName name="_xlnm.Print_Area" localSheetId="6">MAS!$B$3:$L$18</definedName>
    <definedName name="_xlnm.Print_Area" localSheetId="0">'Onthaal '!$B$1:$L$78</definedName>
    <definedName name="_xlnm.Print_Area" localSheetId="1">'Parameters '!$B$5:$G$26</definedName>
  </definedNames>
  <calcPr calcId="145621"/>
</workbook>
</file>

<file path=xl/calcChain.xml><?xml version="1.0" encoding="utf-8"?>
<calcChain xmlns="http://schemas.openxmlformats.org/spreadsheetml/2006/main">
  <c r="C6" i="10" l="1"/>
  <c r="O28" i="10" l="1"/>
  <c r="K28" i="10"/>
  <c r="G28" i="10"/>
  <c r="C28" i="10"/>
  <c r="O17" i="10"/>
  <c r="K17" i="10"/>
  <c r="G17" i="10"/>
  <c r="C17" i="10"/>
  <c r="O6" i="10"/>
  <c r="K6" i="10"/>
  <c r="G6" i="10"/>
  <c r="O6" i="11"/>
  <c r="K6" i="11"/>
  <c r="G6" i="11"/>
  <c r="C6" i="11"/>
  <c r="C17" i="11"/>
  <c r="G17" i="11"/>
  <c r="K17" i="11"/>
  <c r="O17" i="11"/>
  <c r="O28" i="2"/>
  <c r="K28" i="2"/>
  <c r="G28" i="2"/>
  <c r="C28" i="2"/>
  <c r="O17" i="2"/>
  <c r="K17" i="2"/>
  <c r="G17" i="2"/>
  <c r="C17" i="2"/>
  <c r="O6" i="2"/>
  <c r="K6" i="2"/>
  <c r="G6" i="2"/>
  <c r="C6" i="2"/>
  <c r="O28" i="11"/>
  <c r="K28" i="11"/>
  <c r="G28" i="11"/>
  <c r="C28" i="11"/>
  <c r="P35" i="10"/>
  <c r="P35" i="2"/>
  <c r="P35" i="11"/>
  <c r="B10" i="12"/>
  <c r="D10" i="12"/>
  <c r="D11" i="12"/>
  <c r="D12" i="12"/>
  <c r="D13" i="12"/>
  <c r="D14" i="12"/>
  <c r="D16" i="12"/>
  <c r="B19" i="12"/>
  <c r="B14" i="12" s="1"/>
  <c r="B21" i="12"/>
  <c r="B22" i="12"/>
  <c r="D30" i="12" s="1"/>
  <c r="D22" i="12"/>
  <c r="B23" i="12"/>
  <c r="B26" i="12"/>
  <c r="B27" i="12"/>
  <c r="F13" i="1" s="1"/>
  <c r="B28" i="12"/>
  <c r="B29" i="12"/>
  <c r="B33" i="12"/>
  <c r="P10" i="10" s="1"/>
  <c r="B34" i="12"/>
  <c r="D29" i="12" s="1"/>
  <c r="E12" i="1"/>
  <c r="F21" i="1"/>
  <c r="D35" i="11" s="1"/>
  <c r="C22" i="1"/>
  <c r="C9" i="9"/>
  <c r="D9" i="9"/>
  <c r="E9" i="9"/>
  <c r="F9" i="9"/>
  <c r="G9" i="9"/>
  <c r="H9" i="9"/>
  <c r="I9" i="9"/>
  <c r="J9" i="9"/>
  <c r="K9" i="9"/>
  <c r="C10" i="9"/>
  <c r="D10" i="9"/>
  <c r="E10" i="9"/>
  <c r="F10" i="9"/>
  <c r="G10" i="9"/>
  <c r="H10" i="9"/>
  <c r="I10" i="9"/>
  <c r="J10" i="9"/>
  <c r="K10" i="9"/>
  <c r="C11" i="9"/>
  <c r="D11" i="9"/>
  <c r="E11" i="9"/>
  <c r="F11" i="9"/>
  <c r="G11" i="9"/>
  <c r="H11" i="9"/>
  <c r="I11" i="9"/>
  <c r="J11" i="9"/>
  <c r="K11" i="9"/>
  <c r="C12" i="9"/>
  <c r="D12" i="9"/>
  <c r="E12" i="9"/>
  <c r="F12" i="9"/>
  <c r="G12" i="9"/>
  <c r="H12" i="9"/>
  <c r="I12" i="9"/>
  <c r="J12" i="9"/>
  <c r="K12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G18" i="9"/>
  <c r="H32" i="10"/>
  <c r="D32" i="2"/>
  <c r="L9" i="11"/>
  <c r="C12" i="1"/>
  <c r="C14" i="1" s="1"/>
  <c r="C15" i="1" s="1"/>
  <c r="D24" i="12"/>
  <c r="M8" i="10"/>
  <c r="Q8" i="10"/>
  <c r="E21" i="10"/>
  <c r="I32" i="10"/>
  <c r="M32" i="10"/>
  <c r="I10" i="2"/>
  <c r="Q13" i="2"/>
  <c r="E19" i="2"/>
  <c r="E24" i="2"/>
  <c r="I32" i="2"/>
  <c r="M32" i="2"/>
  <c r="M8" i="11"/>
  <c r="B17" i="12"/>
  <c r="B16" i="12"/>
  <c r="I30" i="11"/>
  <c r="Q19" i="11"/>
  <c r="I19" i="11"/>
  <c r="E32" i="11"/>
  <c r="M20" i="11"/>
  <c r="M19" i="11"/>
  <c r="P24" i="11"/>
  <c r="H31" i="11"/>
  <c r="D13" i="11"/>
  <c r="D8" i="2"/>
  <c r="D8" i="10"/>
  <c r="H21" i="10"/>
  <c r="H13" i="11"/>
  <c r="P32" i="2"/>
  <c r="L13" i="2"/>
  <c r="H10" i="2"/>
  <c r="P34" i="11"/>
  <c r="H24" i="11"/>
  <c r="H32" i="2"/>
  <c r="P24" i="2"/>
  <c r="D33" i="10"/>
  <c r="M32" i="11" l="1"/>
  <c r="Q30" i="11"/>
  <c r="I8" i="11"/>
  <c r="M23" i="2"/>
  <c r="E10" i="2"/>
  <c r="Q19" i="10"/>
  <c r="B15" i="12"/>
  <c r="I35" i="2"/>
  <c r="E12" i="11"/>
  <c r="M23" i="11"/>
  <c r="D25" i="12"/>
  <c r="I21" i="11"/>
  <c r="I32" i="11"/>
  <c r="Q9" i="11"/>
  <c r="M30" i="2"/>
  <c r="I21" i="2"/>
  <c r="E13" i="2"/>
  <c r="I8" i="2"/>
  <c r="I30" i="10"/>
  <c r="Q10" i="10"/>
  <c r="D25" i="1"/>
  <c r="B12" i="12"/>
  <c r="E13" i="11"/>
  <c r="E24" i="11"/>
  <c r="Q10" i="11"/>
  <c r="Q21" i="11"/>
  <c r="Q32" i="11"/>
  <c r="M9" i="11"/>
  <c r="Q34" i="2"/>
  <c r="I30" i="2"/>
  <c r="E21" i="2"/>
  <c r="E12" i="2"/>
  <c r="E8" i="2"/>
  <c r="Q21" i="10"/>
  <c r="M10" i="10"/>
  <c r="D24" i="1"/>
  <c r="B11" i="12"/>
  <c r="L21" i="11"/>
  <c r="C24" i="1"/>
  <c r="L23" i="11"/>
  <c r="H35" i="2"/>
  <c r="L32" i="10"/>
  <c r="D34" i="11"/>
  <c r="D10" i="11"/>
  <c r="C25" i="1"/>
  <c r="D18" i="12" s="1"/>
  <c r="D17" i="12" s="1"/>
  <c r="P30" i="2"/>
  <c r="D30" i="11"/>
  <c r="L32" i="2"/>
  <c r="L32" i="11"/>
  <c r="C23" i="1"/>
  <c r="D24" i="11"/>
  <c r="P10" i="11"/>
  <c r="L10" i="2"/>
  <c r="D12" i="2"/>
  <c r="D12" i="11"/>
  <c r="F12" i="1"/>
  <c r="D10" i="2"/>
  <c r="L10" i="11"/>
  <c r="L35" i="11"/>
  <c r="H13" i="2"/>
  <c r="D19" i="11"/>
  <c r="P21" i="10"/>
  <c r="H21" i="11"/>
  <c r="H24" i="2"/>
  <c r="L24" i="11"/>
  <c r="D28" i="12"/>
  <c r="D26" i="12"/>
  <c r="D27" i="12"/>
  <c r="L24" i="10"/>
  <c r="D20" i="12"/>
  <c r="D21" i="12"/>
  <c r="D21" i="10"/>
  <c r="P21" i="2"/>
  <c r="H8" i="11"/>
  <c r="P19" i="11"/>
  <c r="H32" i="11"/>
  <c r="L10" i="10"/>
  <c r="H30" i="10"/>
  <c r="D24" i="2"/>
  <c r="P8" i="11"/>
  <c r="D21" i="11"/>
  <c r="P32" i="11"/>
  <c r="D20" i="11"/>
  <c r="H12" i="2"/>
  <c r="P33" i="10"/>
  <c r="L21" i="10"/>
  <c r="H30" i="2"/>
  <c r="H10" i="11"/>
  <c r="P21" i="11"/>
  <c r="L23" i="2"/>
  <c r="D19" i="10"/>
  <c r="P10" i="2"/>
  <c r="H13" i="10"/>
  <c r="H24" i="10"/>
  <c r="L35" i="10"/>
  <c r="H23" i="2"/>
  <c r="L34" i="2"/>
  <c r="P12" i="11"/>
  <c r="L30" i="11"/>
  <c r="M10" i="11"/>
  <c r="E19" i="11"/>
  <c r="M21" i="11"/>
  <c r="M31" i="11"/>
  <c r="M35" i="11"/>
  <c r="D20" i="1"/>
  <c r="Q13" i="11"/>
  <c r="Q20" i="11"/>
  <c r="Q24" i="11"/>
  <c r="Q31" i="11"/>
  <c r="I35" i="11"/>
  <c r="E10" i="11"/>
  <c r="Q8" i="11"/>
  <c r="M35" i="2"/>
  <c r="Q32" i="2"/>
  <c r="Q30" i="2"/>
  <c r="I24" i="2"/>
  <c r="M21" i="2"/>
  <c r="I19" i="2"/>
  <c r="I13" i="2"/>
  <c r="M10" i="2"/>
  <c r="M8" i="2"/>
  <c r="E33" i="10"/>
  <c r="M30" i="10"/>
  <c r="I21" i="10"/>
  <c r="E19" i="10"/>
  <c r="E10" i="10"/>
  <c r="E8" i="10"/>
  <c r="D22" i="1"/>
  <c r="B13" i="12"/>
  <c r="C13" i="1"/>
  <c r="H30" i="11"/>
  <c r="L13" i="11"/>
  <c r="D34" i="2"/>
  <c r="P13" i="2"/>
  <c r="D19" i="1"/>
  <c r="C11" i="1"/>
  <c r="D21" i="1"/>
  <c r="D30" i="2"/>
  <c r="L19" i="10"/>
  <c r="P12" i="2"/>
  <c r="D13" i="10"/>
  <c r="D9" i="11"/>
  <c r="D31" i="10"/>
  <c r="L13" i="10"/>
  <c r="P24" i="10"/>
  <c r="L12" i="2"/>
  <c r="P23" i="2"/>
  <c r="D35" i="2"/>
  <c r="D23" i="11"/>
  <c r="D31" i="11"/>
  <c r="B18" i="12"/>
  <c r="L34" i="11"/>
  <c r="P13" i="10"/>
  <c r="L24" i="2"/>
  <c r="H12" i="11"/>
  <c r="H34" i="11"/>
  <c r="D35" i="10"/>
  <c r="H23" i="11"/>
  <c r="H19" i="2"/>
  <c r="P34" i="2"/>
  <c r="P13" i="11"/>
  <c r="P30" i="11"/>
  <c r="P31" i="10"/>
  <c r="H10" i="10"/>
  <c r="H21" i="2"/>
  <c r="L35" i="2"/>
  <c r="H19" i="11"/>
  <c r="P31" i="11"/>
  <c r="D23" i="2"/>
  <c r="D13" i="2"/>
  <c r="L8" i="10"/>
  <c r="D21" i="2"/>
  <c r="L8" i="11"/>
  <c r="L20" i="11"/>
  <c r="H35" i="11"/>
  <c r="D10" i="10"/>
  <c r="L8" i="2"/>
  <c r="D24" i="10"/>
  <c r="H35" i="10"/>
  <c r="L19" i="2"/>
  <c r="H34" i="2"/>
  <c r="L12" i="11"/>
  <c r="P23" i="11"/>
  <c r="M13" i="11"/>
  <c r="E21" i="11"/>
  <c r="E30" i="11"/>
  <c r="E34" i="11"/>
  <c r="D18" i="1"/>
  <c r="I13" i="11"/>
  <c r="I20" i="11"/>
  <c r="I24" i="11"/>
  <c r="I31" i="11"/>
  <c r="Q34" i="11"/>
  <c r="I10" i="11"/>
  <c r="I9" i="11"/>
  <c r="E8" i="11"/>
  <c r="E34" i="2"/>
  <c r="E32" i="2"/>
  <c r="Q24" i="2"/>
  <c r="Q21" i="2"/>
  <c r="Q19" i="2"/>
  <c r="M13" i="2"/>
  <c r="Q10" i="2"/>
  <c r="Q8" i="2"/>
  <c r="Q33" i="10"/>
  <c r="Q31" i="10"/>
  <c r="M21" i="10"/>
  <c r="I19" i="10"/>
  <c r="I10" i="10"/>
  <c r="I8" i="10"/>
  <c r="D23" i="1"/>
  <c r="D32" i="11"/>
  <c r="L19" i="11"/>
  <c r="D8" i="11"/>
  <c r="L21" i="2"/>
  <c r="E13" i="10" l="1"/>
  <c r="M30" i="11"/>
  <c r="I23" i="11"/>
  <c r="E35" i="11"/>
  <c r="M35" i="10"/>
  <c r="E24" i="10"/>
  <c r="E20" i="11"/>
  <c r="Q35" i="2"/>
  <c r="E9" i="11"/>
  <c r="I12" i="2"/>
  <c r="I23" i="2"/>
  <c r="Q24" i="10"/>
  <c r="Q12" i="2"/>
  <c r="E31" i="10"/>
  <c r="I12" i="11"/>
  <c r="M19" i="2"/>
  <c r="M12" i="11"/>
  <c r="M24" i="11"/>
  <c r="E35" i="10"/>
  <c r="Q13" i="10"/>
  <c r="E35" i="2"/>
  <c r="E23" i="11"/>
  <c r="M34" i="2"/>
  <c r="I34" i="2"/>
  <c r="Q12" i="11"/>
  <c r="M19" i="10"/>
  <c r="Q35" i="11"/>
  <c r="Q35" i="10"/>
  <c r="E23" i="2"/>
  <c r="I35" i="10"/>
  <c r="I34" i="11"/>
  <c r="M24" i="10"/>
  <c r="M24" i="2"/>
  <c r="M13" i="10"/>
  <c r="E31" i="11"/>
  <c r="I24" i="10"/>
  <c r="M34" i="11"/>
  <c r="Q23" i="2"/>
  <c r="I13" i="10"/>
  <c r="Q23" i="11"/>
  <c r="M12" i="2"/>
  <c r="E30" i="2"/>
  <c r="P9" i="11"/>
  <c r="H9" i="11"/>
  <c r="L30" i="2"/>
  <c r="P19" i="2"/>
  <c r="L31" i="11"/>
  <c r="H20" i="11"/>
  <c r="C21" i="1"/>
  <c r="P20" i="11"/>
  <c r="P19" i="10"/>
  <c r="H19" i="10"/>
  <c r="P8" i="10"/>
  <c r="H8" i="10"/>
  <c r="D19" i="2"/>
  <c r="P8" i="2"/>
  <c r="H8" i="2"/>
  <c r="L30" i="10"/>
  <c r="C20" i="1" l="1"/>
  <c r="C19" i="1"/>
</calcChain>
</file>

<file path=xl/comments1.xml><?xml version="1.0" encoding="utf-8"?>
<comments xmlns="http://schemas.openxmlformats.org/spreadsheetml/2006/main">
  <authors>
    <author>mt</author>
    <author>marc</author>
  </authors>
  <commentList>
    <comment ref="C9" authorId="0">
      <text>
        <r>
          <rPr>
            <sz val="10"/>
            <rFont val="Arial"/>
            <family val="2"/>
          </rPr>
          <t>Deze test wordt gelopen over 2000m voor de goede lopers minder dan 8 min) en over 1500m voor de anderen</t>
        </r>
      </text>
    </comment>
    <comment ref="F9" authorId="0">
      <text>
        <r>
          <rPr>
            <sz val="10"/>
            <rFont val="Arial"/>
            <family val="2"/>
          </rPr>
          <t>Wees realistisch. Hoop niet op een te grote vooruitgang in vergelijking met je reële waarde!</t>
        </r>
      </text>
    </comment>
    <comment ref="B10" authorId="0">
      <text>
        <r>
          <rPr>
            <sz val="10"/>
            <rFont val="Arial"/>
            <family val="2"/>
          </rPr>
          <t xml:space="preserve">Het gaat om een test op de piste, aan constant tempo, afgelegd zo snel je kan
</t>
        </r>
      </text>
    </comment>
    <comment ref="C10" authorId="0">
      <text>
        <r>
          <rPr>
            <sz val="10"/>
            <rFont val="Arial"/>
            <family val="2"/>
          </rPr>
          <t xml:space="preserve">De test op de piste wordt zo snel mogelijk afgelegd, aan een constant tempo. De laatste halve ronde moet "voluit" gelopen worden, om ook de HF max te kunnen opmeten.
</t>
        </r>
      </text>
    </comment>
    <comment ref="E12" authorId="1">
      <text>
        <r>
          <rPr>
            <b/>
            <sz val="8"/>
            <color indexed="81"/>
            <rFont val="Tahoma"/>
            <family val="2"/>
          </rPr>
          <t>Om dit doel te halen, moet je op de CAT-test ten minste het volgende resultaat halen: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10"/>
            <color indexed="81"/>
            <rFont val="Arial"/>
            <family val="2"/>
          </rPr>
          <t>Deze tijd moet je minstens halen op de test, wil je het gewenste objectief  bereiken</t>
        </r>
      </text>
    </comment>
    <comment ref="F13" authorId="0">
      <text>
        <r>
          <rPr>
            <b/>
            <sz val="10"/>
            <color indexed="81"/>
            <rFont val="Arial"/>
            <family val="2"/>
          </rPr>
          <t xml:space="preserve">Plaats de gewenste tijd op de 20km bovenaan de tabel!
</t>
        </r>
      </text>
    </comment>
    <comment ref="C14" authorId="1">
      <text>
        <r>
          <rPr>
            <b/>
            <sz val="8"/>
            <color indexed="81"/>
            <rFont val="Tahoma"/>
            <family val="2"/>
          </rPr>
          <t>MAS
Maximum Aërobe Snelheid
Je looptempo's worden berekend als % van deze snelheid (zie blad "MAS")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sz val="10"/>
            <rFont val="Arial"/>
            <family val="2"/>
          </rPr>
          <t>Vermeld de HF max die je bekomt tijdens de test.
Indien je deze waarde niet kent:
226 - de leeftijd voor de dames
220 - de leeftijd voor de heren</t>
        </r>
      </text>
    </comment>
    <comment ref="C18" authorId="0">
      <text>
        <r>
          <rPr>
            <sz val="10"/>
            <rFont val="Arial"/>
            <family val="2"/>
          </rPr>
          <t xml:space="preserve">afstand tussen 100 &amp; 1000 meter
</t>
        </r>
      </text>
    </comment>
  </commentList>
</comments>
</file>

<file path=xl/comments2.xml><?xml version="1.0" encoding="utf-8"?>
<comments xmlns="http://schemas.openxmlformats.org/spreadsheetml/2006/main">
  <authors>
    <author>naim.schneyders</author>
  </authors>
  <commentList>
    <comment ref="R4" authorId="0">
      <text>
        <r>
          <rPr>
            <sz val="9"/>
            <color indexed="36"/>
            <rFont val="Tahoma"/>
            <family val="2"/>
          </rPr>
          <t xml:space="preserve">Paarse vakjes: Enkel de periodes van trainingsarbeid moeten aan de gevraagde snelheid worden afgewerkt, de duurloop gebeurt aan het tempo voorzien voor de bruine vakjes.
</t>
        </r>
      </text>
    </comment>
  </commentList>
</comments>
</file>

<file path=xl/comments3.xml><?xml version="1.0" encoding="utf-8"?>
<comments xmlns="http://schemas.openxmlformats.org/spreadsheetml/2006/main">
  <authors>
    <author>naim.schneyders</author>
  </authors>
  <commentList>
    <comment ref="R4" authorId="0">
      <text>
        <r>
          <rPr>
            <sz val="9"/>
            <color indexed="36"/>
            <rFont val="Tahoma"/>
            <family val="2"/>
          </rPr>
          <t xml:space="preserve">Paarse vakjes: Enkel de periodes van trainingsarbeid moeten aan de gevraagde snelheid worden afgewerkt, de duurloop gebeurt aan het tempo voorzien voor de bruine vakjes.
</t>
        </r>
      </text>
    </comment>
  </commentList>
</comments>
</file>

<file path=xl/comments4.xml><?xml version="1.0" encoding="utf-8"?>
<comments xmlns="http://schemas.openxmlformats.org/spreadsheetml/2006/main">
  <authors>
    <author>naim.schneyders</author>
  </authors>
  <commentList>
    <comment ref="R4" authorId="0">
      <text>
        <r>
          <rPr>
            <sz val="9"/>
            <color indexed="36"/>
            <rFont val="Tahoma"/>
            <family val="2"/>
          </rPr>
          <t xml:space="preserve">Paarse vakjes: Enkel de periodes van trainingsarbeid moeten aan de gevraagde snelheid worden afgewerkt, de duurloop gebeurt aan het tempo voorzien voor de bruine vakjes.
</t>
        </r>
      </text>
    </comment>
  </commentList>
</comments>
</file>

<file path=xl/comments5.xml><?xml version="1.0" encoding="utf-8"?>
<comments xmlns="http://schemas.openxmlformats.org/spreadsheetml/2006/main">
  <authors>
    <author>marc</author>
  </authors>
  <commentList>
    <comment ref="D4" authorId="0">
      <text>
        <r>
          <rPr>
            <b/>
            <sz val="8"/>
            <color indexed="81"/>
            <rFont val="Tahoma"/>
            <family val="2"/>
          </rPr>
          <t xml:space="preserve">Je vindt deze waarde in cel B14  van het Blad  Parameters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<sst xmlns="http://schemas.openxmlformats.org/spreadsheetml/2006/main" count="709" uniqueCount="260">
  <si>
    <t>Les cases à saisir sont en jaune</t>
  </si>
  <si>
    <t>seuil</t>
  </si>
  <si>
    <t>dist_semi</t>
  </si>
  <si>
    <t>K_test</t>
  </si>
  <si>
    <t>K_facile</t>
  </si>
  <si>
    <t>Constantes &amp; parametres de calcul</t>
  </si>
  <si>
    <t>calculs intermédiaires</t>
  </si>
  <si>
    <t>Temps de récupération</t>
  </si>
  <si>
    <t>fc_repos</t>
  </si>
  <si>
    <t>T_100</t>
  </si>
  <si>
    <t>R_100</t>
  </si>
  <si>
    <t>fc_200</t>
  </si>
  <si>
    <t>T_200</t>
  </si>
  <si>
    <t>R_200</t>
  </si>
  <si>
    <t>fc_400</t>
  </si>
  <si>
    <t>T_300</t>
  </si>
  <si>
    <t>R_300</t>
  </si>
  <si>
    <t>fc_500</t>
  </si>
  <si>
    <t>T_400</t>
  </si>
  <si>
    <t>R_400</t>
  </si>
  <si>
    <t>fc_semi</t>
  </si>
  <si>
    <t>T_500</t>
  </si>
  <si>
    <t>R_500</t>
  </si>
  <si>
    <t>z_travail</t>
  </si>
  <si>
    <t>T_1000</t>
  </si>
  <si>
    <t>R_1000</t>
  </si>
  <si>
    <t>k_vma</t>
  </si>
  <si>
    <t>t_3000</t>
  </si>
  <si>
    <t>k_anaero</t>
  </si>
  <si>
    <t>t_4000</t>
  </si>
  <si>
    <t>k_aero</t>
  </si>
  <si>
    <t>t_x</t>
  </si>
  <si>
    <t>k_recup</t>
  </si>
  <si>
    <t>fc_x</t>
  </si>
  <si>
    <t>k_marat</t>
  </si>
  <si>
    <t>fc_100</t>
  </si>
  <si>
    <t>k_semi</t>
  </si>
  <si>
    <t>T_10k</t>
  </si>
  <si>
    <t>k_10</t>
  </si>
  <si>
    <t>T_semi</t>
  </si>
  <si>
    <t>ind_vma</t>
  </si>
  <si>
    <t>al_semi</t>
  </si>
  <si>
    <t>dist_vma_min</t>
  </si>
  <si>
    <t>facile</t>
  </si>
  <si>
    <t>dist_marathon</t>
  </si>
  <si>
    <t>fc_300</t>
  </si>
  <si>
    <t>fc_800</t>
  </si>
  <si>
    <t>fc_1200</t>
  </si>
  <si>
    <t xml:space="preserve"> </t>
  </si>
  <si>
    <t>k_semi_2</t>
  </si>
  <si>
    <t>fc_700</t>
  </si>
  <si>
    <t>&amp;</t>
  </si>
  <si>
    <t>fc_competition</t>
  </si>
  <si>
    <t>rapport</t>
  </si>
  <si>
    <t>meter</t>
  </si>
  <si>
    <t>Een eerste vereiste is dat je je eigen mogelijkheden kent:</t>
  </si>
  <si>
    <t>UITVOERING VAN DE TEST:</t>
  </si>
  <si>
    <t>Daarom begin je met een veldtest, liefst op een atletiekpiste.</t>
  </si>
  <si>
    <t>Vermits het mogelijk is dat je een 20 Km wil voorbereiden met een ander resultaat dan</t>
  </si>
  <si>
    <t>Opm: Op basis van opmerkingen/suggesties van lezers, vermelden wij de maximale HF die je tijdens een oefening mag halen en niet</t>
  </si>
  <si>
    <t>(wedstrijdrekord, profiel, aantal deelnemers en hun niveau, enz.)</t>
  </si>
  <si>
    <t xml:space="preserve">Het plan stelt je nu 3 mogelijkheden voor: </t>
  </si>
  <si>
    <t>Training aan MAS-snelheid</t>
  </si>
  <si>
    <t>Aanbevelingen</t>
  </si>
  <si>
    <t xml:space="preserve">dat je wat gas moet terugnemen. </t>
  </si>
  <si>
    <t>Hoe ziet een training er uit?</t>
  </si>
  <si>
    <t xml:space="preserve">Elke training begint met een opwarming en eindigt met een cooling down. </t>
  </si>
  <si>
    <t>De opwarming :</t>
  </si>
  <si>
    <t>De cooling down:</t>
  </si>
  <si>
    <t xml:space="preserve">Die varieert naargelang de inhoud van de training, hoe meer snelheid er in training zit,  </t>
  </si>
  <si>
    <t>KLEUR VAN HET VAKJE</t>
  </si>
  <si>
    <t>Helgeel</t>
  </si>
  <si>
    <t>Paars</t>
  </si>
  <si>
    <t>Lichtgroen</t>
  </si>
  <si>
    <t>Bruin</t>
  </si>
  <si>
    <t>Lichtgeel</t>
  </si>
  <si>
    <t>Donkerblauw</t>
  </si>
  <si>
    <t>TYPE TRAINING</t>
  </si>
  <si>
    <t>wedstrijd of gelijkgesteld</t>
  </si>
  <si>
    <t xml:space="preserve">duurtraining </t>
  </si>
  <si>
    <t xml:space="preserve">specifieke training aan snelheid van je DOEL  </t>
  </si>
  <si>
    <t>herstel</t>
  </si>
  <si>
    <t>intervaltraining</t>
  </si>
  <si>
    <t>MAS-training</t>
  </si>
  <si>
    <t>Eindtijd + basis HF</t>
  </si>
  <si>
    <t>Snelheid per Km + HF oefeningen</t>
  </si>
  <si>
    <t xml:space="preserve">Snelheid per Km + basis HF </t>
  </si>
  <si>
    <t xml:space="preserve">Tijd + HF oefeningen </t>
  </si>
  <si>
    <t>Afstand + HF oefeningen</t>
  </si>
  <si>
    <t>Plaats je parameters in de gele vakjes</t>
  </si>
  <si>
    <t>Je huidige waarde:</t>
  </si>
  <si>
    <t>Je doelstellingen: (wees realistisch!)</t>
  </si>
  <si>
    <t>datum van de wedstrijd:</t>
  </si>
  <si>
    <t>Parameters die overeenstemmen met het gekozen doel:</t>
  </si>
  <si>
    <t>met de tijd opgegeven op basis van de test ,</t>
  </si>
  <si>
    <t>in deze kolom plaatsen (vakje E9)   !!!</t>
  </si>
  <si>
    <t>Vermeld de afstand van de test (2000m / 1500m)   :</t>
  </si>
  <si>
    <t>in sec:</t>
  </si>
  <si>
    <t>Je MAS (m/sec):</t>
  </si>
  <si>
    <t>Je index VO2 Max:</t>
  </si>
  <si>
    <t xml:space="preserve">Vermeld je hartfrequentie in rust (rechtop)     :    </t>
  </si>
  <si>
    <t xml:space="preserve">Vermeld je maximale hartfrequentie     : </t>
  </si>
  <si>
    <t>in sec :</t>
  </si>
  <si>
    <t>Drempel :</t>
  </si>
  <si>
    <t>Cyclus 1</t>
  </si>
  <si>
    <t>km/u</t>
  </si>
  <si>
    <t xml:space="preserve">gewenst % </t>
  </si>
  <si>
    <t xml:space="preserve">van de </t>
  </si>
  <si>
    <t>MAS</t>
  </si>
  <si>
    <t>TUSSENTIJDEN na:</t>
  </si>
  <si>
    <t>afstanden (in meter) gekozen door de trainer</t>
  </si>
  <si>
    <t>Voor een andere afstand:</t>
  </si>
  <si>
    <t>Tijd:</t>
  </si>
  <si>
    <t xml:space="preserve">RUST </t>
  </si>
  <si>
    <t>Cyclus 3</t>
  </si>
  <si>
    <t>Cyclus 2</t>
  </si>
  <si>
    <t>60' DUURLOOP</t>
  </si>
  <si>
    <t>50' DUURLOOP</t>
  </si>
  <si>
    <t>55 DUURLOOP</t>
  </si>
  <si>
    <t>65' DUURLOOP</t>
  </si>
  <si>
    <t>70' DUURLOOP</t>
  </si>
  <si>
    <t>55' DUURLOOP</t>
  </si>
  <si>
    <t>HF</t>
  </si>
  <si>
    <r>
      <t>25' DL+ 7 X 500M   HERSTEL</t>
    </r>
    <r>
      <rPr>
        <sz val="8"/>
        <color indexed="81"/>
        <rFont val="Arial Narrow"/>
        <family val="2"/>
      </rPr>
      <t xml:space="preserve"> 2' - 10' DL</t>
    </r>
  </si>
  <si>
    <t>30' DL+MAS 2x     (8x30"/30")/4'herstel</t>
  </si>
  <si>
    <t>30' DL+MAS 2x    (7x50"/50")/4'herstel</t>
  </si>
  <si>
    <t>30' DL - 5 x 2'          Herstel 1' 30''- 10' DL</t>
  </si>
  <si>
    <t>30' DL - 7 x 2'           Herstel 1' - 10' DL</t>
  </si>
  <si>
    <t>25' DL - 5 x 3'           Herstel 2'30'' - 10' DL</t>
  </si>
  <si>
    <t>WOE</t>
  </si>
  <si>
    <t>DO</t>
  </si>
  <si>
    <t>VRIJ</t>
  </si>
  <si>
    <t>ZAT</t>
  </si>
  <si>
    <t>ZO</t>
  </si>
  <si>
    <t>DI</t>
  </si>
  <si>
    <t>MA</t>
  </si>
  <si>
    <t>25' DL + 4 x 1000m      Herstel 2'30'' - 10' DL</t>
  </si>
  <si>
    <t>30' DL+MAS 2x         (6x80"/60")/4'herstel</t>
  </si>
  <si>
    <t>30' DL+MAS 2x         (8x40"/40")/4'herstel</t>
  </si>
  <si>
    <t>50' DUURLOOP                 + 3 versnellingen</t>
  </si>
  <si>
    <t>20' DL + 6 x 4'           Herstel 2' - 10' DL</t>
  </si>
  <si>
    <t>20' DL + 5 x 5'         Herstel 2' - 10' DL</t>
  </si>
  <si>
    <t>45'DL met 3X : 80M snel / Herstel 80 M</t>
  </si>
  <si>
    <t>20' DL + 5 x 6'          Herstel 2'30'' - 10' DL</t>
  </si>
  <si>
    <t>Herstelloop                       van 1u20' à 1u30'</t>
  </si>
  <si>
    <t>Herstelloop                       van 1u10' à 1u20'</t>
  </si>
  <si>
    <t>Test 10 km alleen                      of tijdens wedstrijd</t>
  </si>
  <si>
    <t>Herstelloop                       van 1u20' à 1u40'</t>
  </si>
  <si>
    <t xml:space="preserve">Herstelloop van                  50' </t>
  </si>
  <si>
    <t>35' DL + 3 x 3'          Herstel 2' - 10' DL</t>
  </si>
  <si>
    <t xml:space="preserve">Herstelloop van                  60' </t>
  </si>
  <si>
    <t xml:space="preserve">Herstelloop van                  1u10' </t>
  </si>
  <si>
    <t xml:space="preserve">Herstelloop van                  1u30' </t>
  </si>
  <si>
    <t>20 Km:                  DOEL</t>
  </si>
  <si>
    <t>20' DL + 4 x 7'          Herstel 2'30'' - 10' DL</t>
  </si>
  <si>
    <t>30' DL+MAS 2x         (5x60"/60")/4herstel</t>
  </si>
  <si>
    <t>15' DL + 4 x 8'         Herstel 2' 30'' - 10' DL</t>
  </si>
  <si>
    <t>25' DL + 3 x 7'          Herstel 2' - 10' DL</t>
  </si>
  <si>
    <t>"Controle"- wedstrijd        15KM</t>
  </si>
  <si>
    <t>T</t>
  </si>
  <si>
    <t>BIJKOMENDE INFO (kolommen T en HF)</t>
  </si>
  <si>
    <t>30' DL - 5 x 2'         Herstel 1' 30''- 10' DL</t>
  </si>
  <si>
    <t>25' DL - 5 x 3'       Herstel 2'30'' - 10' DL</t>
  </si>
  <si>
    <t>Herstelloop                       van 1u05</t>
  </si>
  <si>
    <t>Herstelloop van                     1u05 à 1u10</t>
  </si>
  <si>
    <t>Herstelloop van                     1u10 à 01u20</t>
  </si>
  <si>
    <t>Herstelloop van                     1u15' à 1u25'</t>
  </si>
  <si>
    <t>Herstelloop                       van 1u10 à 1u20</t>
  </si>
  <si>
    <t>Herstelloop                     van 1u15' à 1u25'</t>
  </si>
  <si>
    <t>Herstelloop                     van 1u05 à 1u15</t>
  </si>
  <si>
    <t>55' DUURLOOP                 + 3 versnellingen</t>
  </si>
  <si>
    <t>20' DL + 5 x 5'        Herstel 2' - 10' DL</t>
  </si>
  <si>
    <t>20' DL + 5 x 6'        Herstel 2'30'' - 10' DL</t>
  </si>
  <si>
    <t>Herstelloop                     van 1u10' à 1u20'</t>
  </si>
  <si>
    <t>Test 10 Km alleen              of wedstrijd</t>
  </si>
  <si>
    <t>Herstelloop                     van 1u20' à 1u40'</t>
  </si>
  <si>
    <t xml:space="preserve">Herstelloop                     van 60' </t>
  </si>
  <si>
    <t>20' DL + 4 x 7'           Herstel 2'30'' - 10' DL</t>
  </si>
  <si>
    <t>30' DL+MAS 2x         (5x60"/60")/4'herstel</t>
  </si>
  <si>
    <t>15' DL + 4 x 8'        Herstel 2' 30'' - 10' DL</t>
  </si>
  <si>
    <t>45'DL met 3X : 80M snel/ Herstel 80 M</t>
  </si>
  <si>
    <t>"Controle"-wedstrijd        15KM</t>
  </si>
  <si>
    <t xml:space="preserve">Herstelloop                    van 1u30' </t>
  </si>
  <si>
    <t>Herstelloop                     van 1H10'</t>
  </si>
  <si>
    <t>20 Km:               DOEL</t>
  </si>
  <si>
    <t>Herstelloop                      van 50' à 1u10</t>
  </si>
  <si>
    <t>30' DL+MAS 2x     (6x30"/30")/4'herstel</t>
  </si>
  <si>
    <t>30' DL+MAS 2x    (10x20"/20")/4'herstel</t>
  </si>
  <si>
    <t>35'DL - 7 x 1'            Herstel 2' - 10' DL</t>
  </si>
  <si>
    <t>40' DL - 5 x 2'         Herstel 1' 30''- 10' DL</t>
  </si>
  <si>
    <t>45' DL - 7 x 2'          Herstel 1' - 15' DL</t>
  </si>
  <si>
    <t>35' DL - 5 x 3'          Herstel 2'30'' - 15' DL</t>
  </si>
  <si>
    <t xml:space="preserve">MA </t>
  </si>
  <si>
    <t>25' loslopen +                           2 x : (5x 200M/ r = 2')                   Herstel = 5' 00"</t>
  </si>
  <si>
    <t>20' loslopen + 6 x 1200M Herstel = 3' 30"</t>
  </si>
  <si>
    <t>20' loslopen + 6 X 400M Herstel = 2' 30"</t>
  </si>
  <si>
    <r>
      <t>20' loslopen + 6 X 900M Herstel = 3' 00"</t>
    </r>
    <r>
      <rPr>
        <sz val="8"/>
        <color indexed="8"/>
        <rFont val="Arial"/>
        <family val="2"/>
      </rPr>
      <t/>
    </r>
  </si>
  <si>
    <t>20' loslopen +                           2 x : (5x 300M/ r = 2')                   Herstel = 5' 00"</t>
  </si>
  <si>
    <t>20' loslopen +                           2 x : (5x 300M/ h = 2')                   Herstel = 5' 00"</t>
  </si>
  <si>
    <t>25' loslopen +                           2 x : (5x 200M/ u = 2')                   Herstel = 5' 00"</t>
  </si>
  <si>
    <t>55' DUURLOOP             met 3 versnellingen</t>
  </si>
  <si>
    <t>25' DL + 6 x 4'         Herstel 2' - 15' DL</t>
  </si>
  <si>
    <t>30' DL + 5 x 5'        Herstel 2' - 15' DL</t>
  </si>
  <si>
    <t>Test 10 Km                alleen of wedstrijd</t>
  </si>
  <si>
    <t>30' DL + 5 x 6'      Herstel 2'30'' - 15' DL</t>
  </si>
  <si>
    <t>20' DL + 4 x 6'         Herstel 2' - 10' DL</t>
  </si>
  <si>
    <t>45' DL met 3X : 80M snel / Herstel 80M</t>
  </si>
  <si>
    <t>30' DL + 4 x 8'         Herstel 2' 30'' - 20' DL</t>
  </si>
  <si>
    <t>30' DL + 3 x 7'        Herstel 2' - 20' DL</t>
  </si>
  <si>
    <t xml:space="preserve">meer de HF die zich situeert in het midden van de trainingszone, zoals bij onze programma's voor 10 en 42 KM. » </t>
  </si>
  <si>
    <t xml:space="preserve">om een duurloop goed te starten, doe je (minstens) enkele oefeningen voor </t>
  </si>
  <si>
    <t>Om de cooling down goed af te scheiden van de training die je net hebt afgewerkt, is het aangeraden een minuutje</t>
  </si>
  <si>
    <t>te wandelen en dan een tiental minuten traag te lopen, gevolgd door enkele lichte rekoefeningen.</t>
  </si>
  <si>
    <t>Je tijd per km (mn:sec):</t>
  </si>
  <si>
    <t>in km/uur:</t>
  </si>
  <si>
    <t>Je theoretische tijd over 20 km:</t>
  </si>
  <si>
    <t>Je doel voor de 20 km (uu:mm:ss)</t>
  </si>
  <si>
    <t>anders is de kans erg groot dat je het niet haalt!</t>
  </si>
  <si>
    <t>We hebben enkele (facultatieve) wedstrijden  opgenomen, waarbij het niet je ambitie mag zijn om je persoonlijk rekord te breken</t>
  </si>
  <si>
    <t xml:space="preserve">hoe vollediger de opwarming moet zijn. Na het loslopen -gedurende een tiental minuten-, </t>
  </si>
  <si>
    <t>Armen / Romp / Benen, algemene lichaamsoefeningen en 2 à 3 versnellingen.</t>
  </si>
  <si>
    <t>Voor welke afstand wil je je MAS-tempo kennen (in meter)</t>
  </si>
  <si>
    <t>Overeenkomstige MAS-snelheid (mn:sec):</t>
  </si>
  <si>
    <t>Hersteltempo</t>
  </si>
  <si>
    <t>Theoretische tempo 20 km:</t>
  </si>
  <si>
    <t>MAS op 1000m (uu:mn:ss):</t>
  </si>
  <si>
    <t>Vermeld de tijd die je haalde op de test (uu:mn:ss)   :</t>
  </si>
  <si>
    <t xml:space="preserve"> moet je je doeltijd </t>
  </si>
  <si>
    <t>Je moet de 20 km lopen aan (mm:ss) / Km:</t>
  </si>
  <si>
    <t>Herstelloop van                   1u05 à 1u15</t>
  </si>
  <si>
    <t xml:space="preserve">Schema voor 4 trainingen per week </t>
  </si>
  <si>
    <t xml:space="preserve">Schema voor 5 trainingen per week </t>
  </si>
  <si>
    <t xml:space="preserve">Schema voor 3 trainingen per week </t>
  </si>
  <si>
    <t>TRAININGSPROGRAMMA VOOR DE 20 KM</t>
  </si>
  <si>
    <r>
      <t xml:space="preserve">Voor je aan het programma begint, vul je het blad </t>
    </r>
    <r>
      <rPr>
        <b/>
        <sz val="14"/>
        <color rgb="FFFF0000"/>
        <rFont val="HelveticaNeueLT Std"/>
        <family val="2"/>
      </rPr>
      <t>Parameters</t>
    </r>
    <r>
      <rPr>
        <b/>
        <sz val="14"/>
        <color theme="8" tint="-0.499984740745262"/>
        <rFont val="HelveticaNeueLT Std"/>
        <family val="2"/>
      </rPr>
      <t xml:space="preserve"> in</t>
    </r>
  </si>
  <si>
    <r>
      <t xml:space="preserve">Het gaat om een test over </t>
    </r>
    <r>
      <rPr>
        <b/>
        <sz val="11"/>
        <color theme="8" tint="-0.499984740745262"/>
        <rFont val="HelveticaNeueLT Std"/>
        <family val="2"/>
      </rPr>
      <t>2000m</t>
    </r>
    <r>
      <rPr>
        <sz val="11"/>
        <color theme="8" tint="-0.499984740745262"/>
        <rFont val="HelveticaNeueLT Std"/>
        <family val="2"/>
      </rPr>
      <t xml:space="preserve"> voor goede lopers en over </t>
    </r>
    <r>
      <rPr>
        <b/>
        <sz val="11"/>
        <color theme="8" tint="-0.499984740745262"/>
        <rFont val="HelveticaNeueLT Std"/>
        <family val="2"/>
      </rPr>
      <t>1500m</t>
    </r>
    <r>
      <rPr>
        <sz val="11"/>
        <color theme="8" tint="-0.499984740745262"/>
        <rFont val="HelveticaNeueLT Std"/>
        <family val="2"/>
      </rPr>
      <t xml:space="preserve"> voor beginnelingen </t>
    </r>
  </si>
  <si>
    <r>
      <t xml:space="preserve">Deze cijfers zijn een weergave van je </t>
    </r>
    <r>
      <rPr>
        <b/>
        <sz val="11"/>
        <color theme="8" tint="-0.499984740745262"/>
        <rFont val="HelveticaNeueLT Std"/>
        <family val="2"/>
      </rPr>
      <t>huidige niveau</t>
    </r>
    <r>
      <rPr>
        <sz val="11"/>
        <color theme="8" tint="-0.499984740745262"/>
        <rFont val="HelveticaNeueLT Std"/>
        <family val="2"/>
      </rPr>
      <t>.</t>
    </r>
  </si>
  <si>
    <r>
      <t xml:space="preserve">Het gaat erom dat je </t>
    </r>
    <r>
      <rPr>
        <b/>
        <sz val="11"/>
        <color theme="8" tint="-0.499984740745262"/>
        <rFont val="HelveticaNeueLT Std"/>
        <family val="2"/>
      </rPr>
      <t>zo snel mogelijk</t>
    </r>
    <r>
      <rPr>
        <sz val="11"/>
        <color theme="8" tint="-0.499984740745262"/>
        <rFont val="HelveticaNeueLT Std"/>
        <family val="2"/>
      </rPr>
      <t xml:space="preserve"> loopt </t>
    </r>
    <r>
      <rPr>
        <b/>
        <sz val="11"/>
        <color theme="8" tint="-0.499984740745262"/>
        <rFont val="HelveticaNeueLT Std"/>
        <family val="2"/>
      </rPr>
      <t>aan een constante snelheid</t>
    </r>
    <r>
      <rPr>
        <b/>
        <u/>
        <sz val="11"/>
        <color theme="8" tint="-0.499984740745262"/>
        <rFont val="HelveticaNeueLT Std"/>
        <family val="2"/>
      </rPr>
      <t>,</t>
    </r>
    <r>
      <rPr>
        <sz val="11"/>
        <color theme="8" tint="-0.499984740745262"/>
        <rFont val="HelveticaNeueLT Std"/>
        <family val="2"/>
      </rPr>
      <t xml:space="preserve"> tot de laatste 200 meter, die je "voluit" loopt</t>
    </r>
  </si>
  <si>
    <r>
      <t xml:space="preserve">Vermeld of het om een test over </t>
    </r>
    <r>
      <rPr>
        <b/>
        <sz val="11"/>
        <color theme="8" tint="-0.499984740745262"/>
        <rFont val="HelveticaNeueLT Std"/>
        <family val="2"/>
      </rPr>
      <t>2000m</t>
    </r>
    <r>
      <rPr>
        <sz val="11"/>
        <color theme="8" tint="-0.499984740745262"/>
        <rFont val="HelveticaNeueLT Std"/>
        <family val="2"/>
      </rPr>
      <t xml:space="preserve"> of </t>
    </r>
    <r>
      <rPr>
        <b/>
        <sz val="11"/>
        <color theme="8" tint="-0.499984740745262"/>
        <rFont val="HelveticaNeueLT Std"/>
        <family val="2"/>
      </rPr>
      <t xml:space="preserve">1500m </t>
    </r>
    <r>
      <rPr>
        <sz val="11"/>
        <color theme="8" tint="-0.499984740745262"/>
        <rFont val="HelveticaNeueLT Std"/>
        <family val="2"/>
      </rPr>
      <t>gaat in vakje</t>
    </r>
    <r>
      <rPr>
        <b/>
        <sz val="11"/>
        <color theme="8" tint="-0.499984740745262"/>
        <rFont val="HelveticaNeueLT Std"/>
        <family val="2"/>
      </rPr>
      <t xml:space="preserve"> B9 </t>
    </r>
    <r>
      <rPr>
        <sz val="11"/>
        <color theme="8" tint="-0.499984740745262"/>
        <rFont val="HelveticaNeueLT Std"/>
        <family val="2"/>
      </rPr>
      <t>!</t>
    </r>
  </si>
  <si>
    <r>
      <t xml:space="preserve">Zodra je klaar staat in je loopuitrusting blijf je 15 seconden rustig rechtstaan en dan meet je je hartfrequentie = </t>
    </r>
    <r>
      <rPr>
        <b/>
        <sz val="11"/>
        <color theme="8" tint="-0.499984740745262"/>
        <rFont val="HelveticaNeueLT Std"/>
        <family val="2"/>
      </rPr>
      <t>HFRust</t>
    </r>
  </si>
  <si>
    <r>
      <t xml:space="preserve">Op basis van deze test kan je je </t>
    </r>
    <r>
      <rPr>
        <b/>
        <sz val="11"/>
        <color theme="8" tint="-0.499984740745262"/>
        <rFont val="HelveticaNeueLT Std"/>
        <family val="2"/>
      </rPr>
      <t xml:space="preserve">maximale hartfrequentie (HFMax) </t>
    </r>
    <r>
      <rPr>
        <sz val="11"/>
        <color theme="8" tint="-0.499984740745262"/>
        <rFont val="HelveticaNeueLT Std"/>
        <family val="2"/>
      </rPr>
      <t>meten (op het einde van de test)</t>
    </r>
  </si>
  <si>
    <r>
      <rPr>
        <b/>
        <sz val="11"/>
        <color theme="8" tint="-0.499984740745262"/>
        <rFont val="HelveticaNeueLT Std"/>
        <family val="2"/>
      </rPr>
      <t>UITSLAG Tijd :</t>
    </r>
    <r>
      <rPr>
        <sz val="11"/>
        <color theme="8" tint="-0.499984740745262"/>
        <rFont val="HelveticaNeueLT Std"/>
        <family val="2"/>
      </rPr>
      <t xml:space="preserve"> Zet je behaalde tijd in vakje </t>
    </r>
    <r>
      <rPr>
        <b/>
        <sz val="11"/>
        <color theme="8" tint="-0.499984740745262"/>
        <rFont val="HelveticaNeueLT Std"/>
        <family val="2"/>
      </rPr>
      <t>B10.</t>
    </r>
  </si>
  <si>
    <r>
      <t>wat het resultaat van de test voorspelt, zet je je gewenste tijd in vakje</t>
    </r>
    <r>
      <rPr>
        <b/>
        <sz val="11"/>
        <color theme="8" tint="-0.499984740745262"/>
        <rFont val="HelveticaNeueLT Std"/>
        <family val="2"/>
      </rPr>
      <t xml:space="preserve"> E9.</t>
    </r>
  </si>
  <si>
    <r>
      <rPr>
        <b/>
        <sz val="11"/>
        <color theme="8" tint="-0.499984740745262"/>
        <rFont val="HelveticaNeueLT Std"/>
        <family val="2"/>
      </rPr>
      <t>Trager</t>
    </r>
    <r>
      <rPr>
        <sz val="11"/>
        <color theme="8" tint="-0.499984740745262"/>
        <rFont val="HelveticaNeueLT Std"/>
        <family val="2"/>
      </rPr>
      <t xml:space="preserve">: zal afhangen van de ervaring (of het gebrek eraan) en de gekozen wedstrijd </t>
    </r>
  </si>
  <si>
    <r>
      <rPr>
        <b/>
        <sz val="11"/>
        <color theme="8" tint="-0.499984740745262"/>
        <rFont val="HelveticaNeueLT Std"/>
        <family val="2"/>
      </rPr>
      <t>Sneller:</t>
    </r>
    <r>
      <rPr>
        <sz val="11"/>
        <color theme="8" tint="-0.499984740745262"/>
        <rFont val="HelveticaNeueLT Std"/>
        <family val="2"/>
      </rPr>
      <t xml:space="preserve"> Opgelet, blijf realistisch, wijk niet te veel af van de berekende tijd  </t>
    </r>
  </si>
  <si>
    <r>
      <t xml:space="preserve">Je mag de referteafstand van de MAS in vakje </t>
    </r>
    <r>
      <rPr>
        <b/>
        <sz val="11"/>
        <color theme="8" tint="-0.499984740745262"/>
        <rFont val="HelveticaNeueLT Std"/>
        <family val="2"/>
      </rPr>
      <t>B18</t>
    </r>
    <r>
      <rPr>
        <sz val="11"/>
        <color theme="8" tint="-0.499984740745262"/>
        <rFont val="HelveticaNeueLT Std"/>
        <family val="2"/>
      </rPr>
      <t xml:space="preserve"> aanpassen (lezing in </t>
    </r>
    <r>
      <rPr>
        <b/>
        <sz val="11"/>
        <color theme="8" tint="-0.499984740745262"/>
        <rFont val="HelveticaNeueLT Std"/>
        <family val="2"/>
      </rPr>
      <t>B19)</t>
    </r>
  </si>
  <si>
    <r>
      <t xml:space="preserve">Vermeld de datum van de wedstrijd in vakje </t>
    </r>
    <r>
      <rPr>
        <b/>
        <sz val="11"/>
        <color theme="8" tint="-0.499984740745262"/>
        <rFont val="HelveticaNeueLT Std"/>
        <family val="2"/>
      </rPr>
      <t>E10</t>
    </r>
  </si>
  <si>
    <r>
      <rPr>
        <b/>
        <sz val="11"/>
        <color theme="8" tint="-0.499984740745262"/>
        <rFont val="HelveticaNeueLT Std"/>
        <family val="2"/>
      </rPr>
      <t>RESULTAAT HFMax:</t>
    </r>
    <r>
      <rPr>
        <sz val="11"/>
        <color theme="8" tint="-0.499984740745262"/>
        <rFont val="HelveticaNeueLT Std"/>
        <family val="2"/>
      </rPr>
      <t xml:space="preserve"> Zet het resultaat in vakje </t>
    </r>
    <r>
      <rPr>
        <b/>
        <sz val="11"/>
        <color theme="8" tint="-0.499984740745262"/>
        <rFont val="HelveticaNeueLT Std"/>
        <family val="2"/>
      </rPr>
      <t>C17</t>
    </r>
    <r>
      <rPr>
        <sz val="11"/>
        <color theme="8" tint="-0.499984740745262"/>
        <rFont val="HelveticaNeueLT Std"/>
        <family val="2"/>
      </rPr>
      <t>.</t>
    </r>
  </si>
  <si>
    <r>
      <rPr>
        <b/>
        <sz val="11"/>
        <color theme="8" tint="-0.499984740745262"/>
        <rFont val="HelveticaNeueLT Std"/>
        <family val="2"/>
      </rPr>
      <t>RESULTAAT HFRust:</t>
    </r>
    <r>
      <rPr>
        <sz val="11"/>
        <color theme="8" tint="-0.499984740745262"/>
        <rFont val="HelveticaNeueLT Std"/>
        <family val="2"/>
      </rPr>
      <t xml:space="preserve"> Zet het resultaat in vakje </t>
    </r>
    <r>
      <rPr>
        <b/>
        <sz val="11"/>
        <color theme="8" tint="-0.499984740745262"/>
        <rFont val="HelveticaNeueLT Std"/>
        <family val="2"/>
      </rPr>
      <t>C16</t>
    </r>
    <r>
      <rPr>
        <sz val="11"/>
        <color theme="8" tint="-0.499984740745262"/>
        <rFont val="HelveticaNeueLT Std"/>
        <family val="2"/>
      </rPr>
      <t>.</t>
    </r>
  </si>
  <si>
    <r>
      <t xml:space="preserve">Het blad </t>
    </r>
    <r>
      <rPr>
        <sz val="11"/>
        <color indexed="20"/>
        <rFont val="HelveticaNeueLT Std"/>
        <family val="2"/>
      </rPr>
      <t>MAS</t>
    </r>
    <r>
      <rPr>
        <sz val="11"/>
        <rFont val="HelveticaNeueLT Std"/>
        <family val="2"/>
      </rPr>
      <t xml:space="preserve"> geeft de snelheden aan voor de MAS-trainingen.</t>
    </r>
  </si>
  <si>
    <r>
      <t xml:space="preserve">De plannen zijn opgebouwd over </t>
    </r>
    <r>
      <rPr>
        <b/>
        <sz val="11"/>
        <color theme="8" tint="-0.499984740745262"/>
        <rFont val="HelveticaNeueLT Std"/>
        <family val="2"/>
      </rPr>
      <t>3 perioden van 4 weken:</t>
    </r>
  </si>
  <si>
    <r>
      <rPr>
        <b/>
        <sz val="11"/>
        <color theme="8" tint="-0.499984740745262"/>
        <rFont val="HelveticaNeueLT Std"/>
        <family val="2"/>
      </rPr>
      <t>Voorbereidende wedstrijden:</t>
    </r>
    <r>
      <rPr>
        <sz val="11"/>
        <color theme="8" tint="-0.499984740745262"/>
        <rFont val="HelveticaNeueLT Std"/>
        <family val="2"/>
      </rPr>
      <t xml:space="preserve"> </t>
    </r>
    <r>
      <rPr>
        <sz val="11"/>
        <rFont val="HelveticaNeueLT Std"/>
        <family val="2"/>
      </rPr>
      <t xml:space="preserve">Begin aan het specifieke tempo van de voorbereiding en hou deze aan tot op het ogenblik </t>
    </r>
  </si>
  <si>
    <t>Legende</t>
  </si>
  <si>
    <r>
      <rPr>
        <b/>
        <sz val="11"/>
        <color theme="8" tint="-0.499984740745262"/>
        <rFont val="HelveticaNeueLT Std"/>
        <family val="2"/>
      </rPr>
      <t>Trainingen:</t>
    </r>
    <r>
      <rPr>
        <sz val="11"/>
        <color theme="8" tint="-0.499984740745262"/>
        <rFont val="HelveticaNeueLT Std"/>
        <family val="2"/>
      </rPr>
      <t xml:space="preserve"> </t>
    </r>
    <r>
      <rPr>
        <sz val="11"/>
        <rFont val="HelveticaNeueLT Std"/>
        <family val="2"/>
      </rPr>
      <t>het type snelheid bepaalt de kleur van het vakje waarin de training vermeld staat</t>
    </r>
  </si>
  <si>
    <r>
      <t xml:space="preserve">Je </t>
    </r>
    <r>
      <rPr>
        <b/>
        <sz val="11"/>
        <color theme="8" tint="-0.499984740745262"/>
        <rFont val="Arial"/>
        <family val="2"/>
      </rPr>
      <t>MAS</t>
    </r>
    <r>
      <rPr>
        <sz val="11"/>
        <color theme="8" tint="-0.499984740745262"/>
        <rFont val="Arial"/>
        <family val="2"/>
      </rPr>
      <t xml:space="preserve"> (km/uur):</t>
    </r>
  </si>
  <si>
    <r>
      <rPr>
        <b/>
        <sz val="11"/>
        <color rgb="FFFF0000"/>
        <rFont val="Arial"/>
        <family val="2"/>
      </rPr>
      <t>OPGELET</t>
    </r>
    <r>
      <rPr>
        <b/>
        <sz val="11"/>
        <color theme="8" tint="-0.499984740745262"/>
        <rFont val="Arial"/>
        <family val="2"/>
      </rPr>
      <t xml:space="preserve">, zelfs als je akkoord gaat </t>
    </r>
  </si>
  <si>
    <t>Noteer je MAS:</t>
  </si>
  <si>
    <t>gekozen % :</t>
  </si>
  <si>
    <t>afstand :</t>
  </si>
  <si>
    <r>
      <rPr>
        <b/>
        <sz val="10"/>
        <color theme="0"/>
        <rFont val="Arial"/>
        <family val="2"/>
      </rPr>
      <t>DL!!!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</si>
</sst>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dd\.mm\.yy"/>
    <numFmt numFmtId="166" formatCode="0.000"/>
    <numFmt numFmtId="167" formatCode="mm:ss.00"/>
    <numFmt numFmtId="168" formatCode="[$-F400]h:mm:ss\ AM/PM"/>
    <numFmt numFmtId="169" formatCode="hh:mm:ss;@"/>
    <numFmt numFmtId="170" formatCode="h:mm:ss;@"/>
  </numFmts>
  <fonts count="93" x14ac:knownFonts="1">
    <font>
      <sz val="10"/>
      <name val="Arial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16"/>
      <name val="Times New Roman"/>
      <family val="1"/>
    </font>
    <font>
      <b/>
      <sz val="12"/>
      <color indexed="20"/>
      <name val="Times New Roman"/>
      <family val="1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sz val="11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.5"/>
      <name val="Arial"/>
      <family val="2"/>
    </font>
    <font>
      <sz val="8"/>
      <color indexed="8"/>
      <name val="Arial Narrow"/>
      <family val="2"/>
    </font>
    <font>
      <sz val="8"/>
      <color indexed="81"/>
      <name val="Arial Narrow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23"/>
      <name val="Arial Narrow"/>
      <family val="2"/>
    </font>
    <font>
      <sz val="9"/>
      <color indexed="8"/>
      <name val="Arial Narrow"/>
      <family val="2"/>
    </font>
    <font>
      <b/>
      <sz val="9"/>
      <color indexed="20"/>
      <name val="Arial Rounded MT Bold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9"/>
      <color indexed="53"/>
      <name val="Verdana"/>
      <family val="2"/>
    </font>
    <font>
      <b/>
      <sz val="10"/>
      <color indexed="53"/>
      <name val="Arial"/>
      <family val="2"/>
    </font>
    <font>
      <sz val="12"/>
      <name val="Arial Narrow"/>
      <family val="2"/>
    </font>
    <font>
      <b/>
      <sz val="9"/>
      <color indexed="20"/>
      <name val="Arial Narrow"/>
      <family val="2"/>
    </font>
    <font>
      <sz val="10"/>
      <color indexed="18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28"/>
      <color theme="0"/>
      <name val="Akzidenz-Grotesk BQ Condensed"/>
      <family val="3"/>
    </font>
    <font>
      <b/>
      <sz val="10"/>
      <name val="HelveticaNeueLT Std"/>
      <family val="2"/>
    </font>
    <font>
      <b/>
      <sz val="14"/>
      <color theme="8" tint="-0.499984740745262"/>
      <name val="HelveticaNeueLT Std"/>
      <family val="2"/>
    </font>
    <font>
      <b/>
      <sz val="14"/>
      <color rgb="FFFF0000"/>
      <name val="HelveticaNeueLT Std"/>
      <family val="2"/>
    </font>
    <font>
      <b/>
      <sz val="11"/>
      <color indexed="62"/>
      <name val="HelveticaNeueLT Std"/>
      <family val="2"/>
    </font>
    <font>
      <b/>
      <sz val="11"/>
      <name val="HelveticaNeueLT Std"/>
      <family val="2"/>
    </font>
    <font>
      <b/>
      <sz val="11"/>
      <color theme="8" tint="-0.499984740745262"/>
      <name val="HelveticaNeueLT Std"/>
      <family val="2"/>
    </font>
    <font>
      <sz val="10"/>
      <name val="HelveticaNeueLT Std"/>
      <family val="2"/>
    </font>
    <font>
      <sz val="11"/>
      <name val="HelveticaNeueLT Std"/>
      <family val="2"/>
    </font>
    <font>
      <b/>
      <u/>
      <sz val="11"/>
      <color indexed="62"/>
      <name val="HelveticaNeueLT Std"/>
      <family val="2"/>
    </font>
    <font>
      <sz val="11"/>
      <color theme="8" tint="-0.499984740745262"/>
      <name val="HelveticaNeueLT Std"/>
      <family val="2"/>
    </font>
    <font>
      <b/>
      <u/>
      <sz val="11"/>
      <color theme="8" tint="-0.499984740745262"/>
      <name val="HelveticaNeueLT Std"/>
      <family val="2"/>
    </font>
    <font>
      <sz val="14"/>
      <color theme="8" tint="-0.499984740745262"/>
      <name val="HelveticaNeueLT Std"/>
      <family val="2"/>
    </font>
    <font>
      <sz val="14"/>
      <color theme="0"/>
      <name val="HelveticaNeueLT Std"/>
      <family val="2"/>
    </font>
    <font>
      <b/>
      <sz val="14"/>
      <color theme="8" tint="-0.499984740745262"/>
      <name val="Arial"/>
      <family val="2"/>
    </font>
    <font>
      <sz val="14"/>
      <color theme="8" tint="-0.499984740745262"/>
      <name val="Arial"/>
      <family val="2"/>
    </font>
    <font>
      <sz val="11"/>
      <color indexed="20"/>
      <name val="HelveticaNeueLT Std"/>
      <family val="2"/>
    </font>
    <font>
      <b/>
      <u/>
      <sz val="11"/>
      <color indexed="9"/>
      <name val="HelveticaNeueLT Std"/>
      <family val="2"/>
    </font>
    <font>
      <sz val="20"/>
      <color theme="8" tint="-0.499984740745262"/>
      <name val="Akzidenz-Grotesk BQ Condensed"/>
      <family val="3"/>
    </font>
    <font>
      <i/>
      <sz val="12"/>
      <name val="Verdana"/>
      <family val="2"/>
    </font>
    <font>
      <b/>
      <sz val="10"/>
      <color theme="8" tint="-0.499984740745262"/>
      <name val="HelveticaNeueLT Std"/>
      <family val="2"/>
    </font>
    <font>
      <sz val="10"/>
      <color theme="8" tint="-0.499984740745262"/>
      <name val="HelveticaNeueLT Std"/>
      <family val="2"/>
    </font>
    <font>
      <b/>
      <sz val="10"/>
      <color indexed="8"/>
      <name val="HelveticaNeueLT Std"/>
      <family val="2"/>
    </font>
    <font>
      <b/>
      <sz val="11"/>
      <color indexed="9"/>
      <name val="HelveticaNeueLT Std"/>
      <family val="2"/>
    </font>
    <font>
      <b/>
      <sz val="12"/>
      <color theme="0"/>
      <name val="HelveticaNeueLT Std"/>
      <family val="2"/>
    </font>
    <font>
      <sz val="11"/>
      <color indexed="8"/>
      <name val="HelveticaNeueLT Std"/>
      <family val="2"/>
    </font>
    <font>
      <b/>
      <sz val="11"/>
      <color theme="8" tint="-0.499984740745262"/>
      <name val="Arial"/>
      <family val="2"/>
    </font>
    <font>
      <sz val="11"/>
      <color indexed="8"/>
      <name val="Arial"/>
      <family val="2"/>
    </font>
    <font>
      <sz val="11"/>
      <color theme="8" tint="-0.499984740745262"/>
      <name val="Arial"/>
      <family val="2"/>
    </font>
    <font>
      <i/>
      <sz val="10"/>
      <name val="Arial"/>
      <family val="2"/>
    </font>
    <font>
      <b/>
      <sz val="11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i/>
      <sz val="11"/>
      <color indexed="8"/>
      <name val="Arial"/>
      <family val="2"/>
    </font>
    <font>
      <sz val="12"/>
      <color theme="0"/>
      <name val="HelveticaNeueLT Std Med"/>
      <family val="2"/>
    </font>
    <font>
      <b/>
      <sz val="11"/>
      <color rgb="FFFF0000"/>
      <name val="Arial"/>
      <family val="2"/>
    </font>
    <font>
      <b/>
      <sz val="8"/>
      <color theme="8" tint="-0.499984740745262"/>
      <name val="Arial Narrow"/>
      <family val="2"/>
    </font>
    <font>
      <b/>
      <sz val="8"/>
      <color theme="8" tint="-0.499984740745262"/>
      <name val="Cambria"/>
      <family val="1"/>
    </font>
    <font>
      <b/>
      <sz val="8"/>
      <color theme="8" tint="-0.499984740745262"/>
      <name val="Arial"/>
      <family val="2"/>
    </font>
    <font>
      <b/>
      <sz val="14"/>
      <name val="HelveticaNeueLT Std"/>
      <family val="2"/>
    </font>
    <font>
      <b/>
      <sz val="14"/>
      <color indexed="20"/>
      <name val="HelveticaNeueLT Std"/>
      <family val="2"/>
    </font>
    <font>
      <b/>
      <sz val="16"/>
      <color theme="8" tint="-0.499984740745262"/>
      <name val="HelveticaNeueLT Std"/>
      <family val="2"/>
    </font>
    <font>
      <b/>
      <sz val="12"/>
      <color theme="8" tint="-0.499984740745262"/>
      <name val="HelveticaNeueLT Std"/>
      <family val="2"/>
    </font>
    <font>
      <b/>
      <sz val="16"/>
      <color theme="0"/>
      <name val="HelveticaNeueLT Std"/>
      <family val="2"/>
    </font>
    <font>
      <sz val="16"/>
      <color theme="8" tint="-0.499984740745262"/>
      <name val="HelveticaNeueLT Std"/>
      <family val="2"/>
    </font>
    <font>
      <sz val="14"/>
      <color indexed="8"/>
      <name val="HelveticaNeueLT Std"/>
      <family val="2"/>
    </font>
    <font>
      <sz val="12"/>
      <color indexed="8"/>
      <name val="HelveticaNeueLT Std"/>
      <family val="2"/>
    </font>
    <font>
      <b/>
      <sz val="13"/>
      <name val="HelveticaNeueLT Std"/>
      <family val="2"/>
    </font>
    <font>
      <i/>
      <sz val="12"/>
      <color indexed="8"/>
      <name val="Times New Roman"/>
      <family val="1"/>
    </font>
    <font>
      <sz val="24"/>
      <color theme="0"/>
      <name val="Akzidenz-Grotesk BQ Condensed"/>
      <family val="3"/>
    </font>
    <font>
      <b/>
      <sz val="16"/>
      <color theme="8" tint="-0.499984740745262"/>
      <name val="Arial"/>
      <family val="2"/>
    </font>
    <font>
      <b/>
      <sz val="10"/>
      <color theme="0"/>
      <name val="Arial"/>
      <family val="2"/>
    </font>
    <font>
      <sz val="9"/>
      <color indexed="36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46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40"/>
        <bgColor indexed="18"/>
      </patternFill>
    </fill>
    <fill>
      <patternFill patternType="solid">
        <fgColor indexed="43"/>
        <bgColor indexed="23"/>
      </patternFill>
    </fill>
    <fill>
      <patternFill patternType="solid">
        <fgColor indexed="47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indexed="46"/>
        <bgColor indexed="19"/>
      </patternFill>
    </fill>
    <fill>
      <patternFill patternType="solid">
        <fgColor indexed="47"/>
        <bgColor indexed="2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1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lightDown">
        <fgColor theme="0"/>
        <bgColor theme="8" tint="0.79998168889431442"/>
      </patternFill>
    </fill>
    <fill>
      <patternFill patternType="solid">
        <fgColor theme="8" tint="-0.249977111117893"/>
        <bgColor indexed="13"/>
      </patternFill>
    </fill>
    <fill>
      <patternFill patternType="solid">
        <fgColor theme="0"/>
        <bgColor indexed="18"/>
      </patternFill>
    </fill>
    <fill>
      <patternFill patternType="solid">
        <fgColor rgb="FF00FF00"/>
        <bgColor indexed="17"/>
      </patternFill>
    </fill>
    <fill>
      <patternFill patternType="solid">
        <fgColor rgb="FF00FF00"/>
        <bgColor indexed="18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18"/>
      </patternFill>
    </fill>
    <fill>
      <patternFill patternType="solid">
        <fgColor theme="0" tint="-4.9989318521683403E-2"/>
        <bgColor indexed="18"/>
      </patternFill>
    </fill>
    <fill>
      <patternFill patternType="solid">
        <fgColor theme="0" tint="-4.9989318521683403E-2"/>
        <bgColor indexed="17"/>
      </patternFill>
    </fill>
    <fill>
      <patternFill patternType="lightDown">
        <fgColor theme="0"/>
        <bgColor indexed="19"/>
      </patternFill>
    </fill>
    <fill>
      <patternFill patternType="solid">
        <fgColor theme="8" tint="0.79998168889431442"/>
        <bgColor indexed="15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7030A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theme="8" tint="-0.499984740745262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indexed="64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499984740745262"/>
      </bottom>
      <diagonal/>
    </border>
    <border>
      <left/>
      <right/>
      <top style="medium">
        <color indexed="64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/>
      <bottom style="medium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indexed="64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indexed="64"/>
      </bottom>
      <diagonal/>
    </border>
    <border>
      <left/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8" tint="-0.499984740745262"/>
      </right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indexed="8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8"/>
      </top>
      <bottom style="thin">
        <color indexed="8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indexed="64"/>
      </bottom>
      <diagonal/>
    </border>
    <border>
      <left style="medium">
        <color indexed="64"/>
      </left>
      <right style="thin">
        <color theme="8" tint="-0.499984740745262"/>
      </right>
      <top/>
      <bottom style="medium">
        <color indexed="64"/>
      </bottom>
      <diagonal/>
    </border>
    <border>
      <left style="medium">
        <color indexed="64"/>
      </left>
      <right style="thin">
        <color theme="8" tint="-0.499984740745262"/>
      </right>
      <top/>
      <bottom/>
      <diagonal/>
    </border>
    <border>
      <left/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 style="thin">
        <color indexed="64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8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64"/>
      </top>
      <bottom/>
      <diagonal/>
    </border>
    <border>
      <left style="thin">
        <color theme="8" tint="-0.499984740745262"/>
      </left>
      <right style="medium">
        <color theme="8" tint="-0.499984740745262"/>
      </right>
      <top style="thin">
        <color indexed="64"/>
      </top>
      <bottom/>
      <diagonal/>
    </border>
    <border>
      <left style="thin">
        <color theme="8" tint="-0.499984740745262"/>
      </left>
      <right/>
      <top style="medium">
        <color theme="8" tint="-0.499984740745262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indexed="64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/>
      <diagonal/>
    </border>
    <border>
      <left style="medium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/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medium">
        <color indexed="64"/>
      </bottom>
      <diagonal/>
    </border>
    <border>
      <left/>
      <right style="thin">
        <color theme="8" tint="-0.499984740745262"/>
      </right>
      <top style="medium">
        <color indexed="64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 style="thin">
        <color theme="8" tint="-0.499984740745262"/>
      </bottom>
      <diagonal/>
    </border>
    <border>
      <left style="medium">
        <color indexed="64"/>
      </left>
      <right style="thin">
        <color theme="8" tint="-0.499984740745262"/>
      </right>
      <top style="medium">
        <color indexed="64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8" tint="-0.499984740745262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medium">
        <color theme="8" tint="-0.499984740745262"/>
      </right>
      <top/>
      <bottom/>
      <diagonal/>
    </border>
    <border>
      <left style="thin">
        <color theme="8" tint="-0.499984740745262"/>
      </left>
      <right style="medium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theme="8" tint="-0.499984740745262"/>
      </left>
      <right style="medium">
        <color indexed="8"/>
      </right>
      <top/>
      <bottom style="thin">
        <color theme="8" tint="-0.499984740745262"/>
      </bottom>
      <diagonal/>
    </border>
    <border>
      <left style="medium">
        <color indexed="8"/>
      </left>
      <right style="medium">
        <color indexed="8"/>
      </right>
      <top/>
      <bottom style="thin">
        <color theme="8" tint="-0.499984740745262"/>
      </bottom>
      <diagonal/>
    </border>
    <border>
      <left style="medium">
        <color indexed="8"/>
      </left>
      <right/>
      <top/>
      <bottom style="thin">
        <color theme="8" tint="-0.499984740745262"/>
      </bottom>
      <diagonal/>
    </border>
    <border>
      <left/>
      <right style="thin">
        <color indexed="8"/>
      </right>
      <top/>
      <bottom style="thin">
        <color theme="8" tint="-0.499984740745262"/>
      </bottom>
      <diagonal/>
    </border>
    <border>
      <left style="thin">
        <color indexed="8"/>
      </left>
      <right style="thin">
        <color indexed="8"/>
      </right>
      <top/>
      <bottom style="thin">
        <color theme="8" tint="-0.499984740745262"/>
      </bottom>
      <diagonal/>
    </border>
    <border>
      <left style="thin">
        <color indexed="8"/>
      </left>
      <right/>
      <top/>
      <bottom style="thin">
        <color theme="8" tint="-0.499984740745262"/>
      </bottom>
      <diagonal/>
    </border>
    <border>
      <left/>
      <right style="thin">
        <color indexed="8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8"/>
      </left>
      <right style="thin">
        <color indexed="8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8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93">
    <xf numFmtId="0" fontId="0" fillId="0" borderId="0" xfId="0"/>
    <xf numFmtId="0" fontId="1" fillId="0" borderId="0" xfId="0" applyFont="1"/>
    <xf numFmtId="0" fontId="2" fillId="0" borderId="0" xfId="0" applyFont="1" applyBorder="1"/>
    <xf numFmtId="0" fontId="13" fillId="0" borderId="0" xfId="0" applyFont="1"/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/>
    </xf>
    <xf numFmtId="0" fontId="0" fillId="0" borderId="0" xfId="0" applyProtection="1"/>
    <xf numFmtId="0" fontId="1" fillId="0" borderId="0" xfId="0" applyFont="1" applyBorder="1"/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9" fontId="28" fillId="0" borderId="0" xfId="0" applyNumberFormat="1" applyFont="1" applyFill="1" applyBorder="1" applyAlignment="1">
      <alignment horizontal="center" wrapText="1"/>
    </xf>
    <xf numFmtId="0" fontId="2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horizontal="right"/>
    </xf>
    <xf numFmtId="0" fontId="0" fillId="0" borderId="0" xfId="0" applyFill="1"/>
    <xf numFmtId="0" fontId="38" fillId="0" borderId="0" xfId="0" applyFont="1" applyFill="1"/>
    <xf numFmtId="1" fontId="0" fillId="0" borderId="0" xfId="0" applyNumberFormat="1" applyFill="1"/>
    <xf numFmtId="0" fontId="28" fillId="13" borderId="3" xfId="0" applyFont="1" applyFill="1" applyBorder="1" applyAlignment="1">
      <alignment horizontal="right" vertical="center"/>
    </xf>
    <xf numFmtId="21" fontId="28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/>
    <xf numFmtId="0" fontId="28" fillId="0" borderId="1" xfId="0" applyFont="1" applyFill="1" applyBorder="1"/>
    <xf numFmtId="0" fontId="28" fillId="13" borderId="4" xfId="0" applyFont="1" applyFill="1" applyBorder="1" applyAlignment="1">
      <alignment horizontal="right" vertical="center"/>
    </xf>
    <xf numFmtId="0" fontId="28" fillId="0" borderId="2" xfId="0" applyFont="1" applyFill="1" applyBorder="1"/>
    <xf numFmtId="0" fontId="28" fillId="0" borderId="13" xfId="0" applyFont="1" applyFill="1" applyBorder="1" applyAlignment="1">
      <alignment horizontal="right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right" vertical="center"/>
    </xf>
    <xf numFmtId="1" fontId="28" fillId="0" borderId="7" xfId="0" applyNumberFormat="1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center" vertical="center"/>
    </xf>
    <xf numFmtId="166" fontId="28" fillId="0" borderId="1" xfId="0" applyNumberFormat="1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21" fontId="28" fillId="0" borderId="1" xfId="0" applyNumberFormat="1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right"/>
    </xf>
    <xf numFmtId="0" fontId="28" fillId="13" borderId="4" xfId="0" applyFont="1" applyFill="1" applyBorder="1" applyAlignment="1">
      <alignment horizontal="right"/>
    </xf>
    <xf numFmtId="0" fontId="28" fillId="0" borderId="2" xfId="0" applyFont="1" applyFill="1" applyBorder="1" applyAlignment="1">
      <alignment horizontal="center"/>
    </xf>
    <xf numFmtId="21" fontId="28" fillId="0" borderId="7" xfId="0" applyNumberFormat="1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right"/>
    </xf>
    <xf numFmtId="0" fontId="0" fillId="21" borderId="0" xfId="0" applyFill="1" applyProtection="1">
      <protection locked="0"/>
    </xf>
    <xf numFmtId="0" fontId="14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horizontal="left" indent="2"/>
    </xf>
    <xf numFmtId="0" fontId="53" fillId="0" borderId="0" xfId="0" applyFont="1" applyFill="1" applyBorder="1" applyAlignment="1" applyProtection="1">
      <alignment horizontal="left" indent="2"/>
    </xf>
    <xf numFmtId="0" fontId="54" fillId="0" borderId="0" xfId="1" applyFont="1" applyFill="1" applyBorder="1" applyAlignment="1" applyProtection="1">
      <alignment horizontal="center" vertical="center" wrapText="1"/>
    </xf>
    <xf numFmtId="0" fontId="54" fillId="0" borderId="0" xfId="1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 applyProtection="1">
      <alignment horizontal="left" wrapText="1" indent="2"/>
    </xf>
    <xf numFmtId="0" fontId="56" fillId="0" borderId="0" xfId="0" applyFont="1" applyFill="1" applyBorder="1" applyAlignment="1" applyProtection="1">
      <alignment horizontal="left" wrapText="1" indent="2"/>
    </xf>
    <xf numFmtId="0" fontId="49" fillId="0" borderId="0" xfId="0" applyFont="1" applyFill="1" applyBorder="1" applyAlignment="1" applyProtection="1">
      <alignment horizontal="center" vertical="center"/>
    </xf>
    <xf numFmtId="0" fontId="13" fillId="0" borderId="0" xfId="0" applyFont="1" applyFill="1"/>
    <xf numFmtId="0" fontId="59" fillId="0" borderId="0" xfId="0" applyFont="1" applyFill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 wrapText="1" indent="1"/>
    </xf>
    <xf numFmtId="0" fontId="53" fillId="0" borderId="0" xfId="0" applyFont="1" applyFill="1" applyBorder="1" applyAlignment="1" applyProtection="1">
      <alignment horizontal="left" vertical="center" wrapText="1" indent="1"/>
    </xf>
    <xf numFmtId="0" fontId="60" fillId="0" borderId="0" xfId="0" applyFont="1"/>
    <xf numFmtId="0" fontId="55" fillId="0" borderId="0" xfId="0" applyFont="1" applyFill="1" applyBorder="1" applyAlignment="1" applyProtection="1">
      <alignment horizontal="center" wrapText="1"/>
    </xf>
    <xf numFmtId="0" fontId="56" fillId="0" borderId="0" xfId="0" applyFont="1" applyFill="1" applyBorder="1" applyAlignment="1" applyProtection="1">
      <alignment horizontal="center" wrapText="1"/>
    </xf>
    <xf numFmtId="0" fontId="65" fillId="25" borderId="27" xfId="0" applyFont="1" applyFill="1" applyBorder="1" applyAlignment="1" applyProtection="1">
      <alignment horizontal="center" vertical="center" wrapText="1"/>
    </xf>
    <xf numFmtId="169" fontId="66" fillId="23" borderId="0" xfId="0" applyNumberFormat="1" applyFont="1" applyFill="1" applyBorder="1" applyAlignment="1" applyProtection="1">
      <alignment horizontal="center" vertical="center"/>
    </xf>
    <xf numFmtId="0" fontId="69" fillId="23" borderId="0" xfId="0" applyFont="1" applyFill="1" applyBorder="1" applyAlignment="1">
      <alignment horizontal="center" vertical="center"/>
    </xf>
    <xf numFmtId="49" fontId="69" fillId="28" borderId="0" xfId="0" applyNumberFormat="1" applyFont="1" applyFill="1" applyBorder="1" applyAlignment="1" applyProtection="1">
      <alignment horizontal="center" vertical="center"/>
    </xf>
    <xf numFmtId="0" fontId="64" fillId="23" borderId="0" xfId="0" applyFont="1" applyFill="1" applyBorder="1" applyAlignment="1" applyProtection="1">
      <alignment horizontal="right" vertical="center" wrapText="1"/>
    </xf>
    <xf numFmtId="0" fontId="67" fillId="23" borderId="0" xfId="0" applyFont="1" applyFill="1" applyBorder="1" applyAlignment="1" applyProtection="1">
      <alignment horizontal="center" vertical="center" wrapText="1"/>
    </xf>
    <xf numFmtId="0" fontId="70" fillId="0" borderId="0" xfId="0" applyFont="1"/>
    <xf numFmtId="0" fontId="69" fillId="28" borderId="24" xfId="0" applyFont="1" applyFill="1" applyBorder="1" applyAlignment="1">
      <alignment horizontal="right" vertical="center"/>
    </xf>
    <xf numFmtId="1" fontId="73" fillId="10" borderId="38" xfId="0" applyNumberFormat="1" applyFont="1" applyFill="1" applyBorder="1" applyAlignment="1" applyProtection="1">
      <alignment horizontal="center" vertical="center"/>
      <protection locked="0"/>
    </xf>
    <xf numFmtId="21" fontId="68" fillId="10" borderId="20" xfId="0" applyNumberFormat="1" applyFont="1" applyFill="1" applyBorder="1" applyAlignment="1" applyProtection="1">
      <alignment horizontal="center" vertical="center"/>
      <protection locked="0"/>
    </xf>
    <xf numFmtId="1" fontId="66" fillId="14" borderId="39" xfId="0" applyNumberFormat="1" applyFont="1" applyFill="1" applyBorder="1" applyAlignment="1" applyProtection="1">
      <alignment horizontal="center" vertical="center"/>
      <protection locked="0"/>
    </xf>
    <xf numFmtId="0" fontId="66" fillId="10" borderId="40" xfId="0" applyFont="1" applyFill="1" applyBorder="1" applyAlignment="1" applyProtection="1">
      <alignment horizontal="center" vertical="center"/>
      <protection locked="0"/>
    </xf>
    <xf numFmtId="0" fontId="67" fillId="23" borderId="22" xfId="0" applyFont="1" applyFill="1" applyBorder="1" applyAlignment="1" applyProtection="1">
      <alignment horizontal="center" vertical="center" wrapText="1"/>
    </xf>
    <xf numFmtId="21" fontId="69" fillId="28" borderId="18" xfId="0" applyNumberFormat="1" applyFont="1" applyFill="1" applyBorder="1" applyAlignment="1" applyProtection="1">
      <alignment horizontal="center" vertical="center"/>
    </xf>
    <xf numFmtId="169" fontId="33" fillId="30" borderId="23" xfId="0" applyNumberFormat="1" applyFont="1" applyFill="1" applyBorder="1" applyAlignment="1" applyProtection="1">
      <alignment horizontal="center" vertical="center"/>
    </xf>
    <xf numFmtId="0" fontId="71" fillId="16" borderId="20" xfId="0" applyFont="1" applyFill="1" applyBorder="1" applyAlignment="1" applyProtection="1">
      <alignment horizontal="center" vertical="center" wrapText="1"/>
    </xf>
    <xf numFmtId="21" fontId="66" fillId="10" borderId="18" xfId="0" applyNumberFormat="1" applyFont="1" applyFill="1" applyBorder="1" applyAlignment="1" applyProtection="1">
      <alignment horizontal="center" vertical="center"/>
      <protection locked="0"/>
    </xf>
    <xf numFmtId="165" fontId="66" fillId="10" borderId="23" xfId="0" applyNumberFormat="1" applyFont="1" applyFill="1" applyBorder="1" applyAlignment="1" applyProtection="1">
      <alignment horizontal="center" vertical="center"/>
      <protection locked="0"/>
    </xf>
    <xf numFmtId="0" fontId="67" fillId="23" borderId="24" xfId="0" applyFont="1" applyFill="1" applyBorder="1" applyAlignment="1">
      <alignment horizontal="right" vertical="center" wrapText="1"/>
    </xf>
    <xf numFmtId="0" fontId="67" fillId="23" borderId="17" xfId="0" applyFont="1" applyFill="1" applyBorder="1" applyAlignment="1">
      <alignment horizontal="right" vertical="center" wrapText="1"/>
    </xf>
    <xf numFmtId="0" fontId="68" fillId="10" borderId="20" xfId="0" applyFont="1" applyFill="1" applyBorder="1" applyAlignment="1" applyProtection="1">
      <alignment horizontal="center" vertical="center"/>
      <protection locked="0"/>
    </xf>
    <xf numFmtId="21" fontId="33" fillId="29" borderId="20" xfId="0" applyNumberFormat="1" applyFont="1" applyFill="1" applyBorder="1" applyAlignment="1">
      <alignment horizontal="center" vertical="center"/>
    </xf>
    <xf numFmtId="21" fontId="68" fillId="17" borderId="26" xfId="0" applyNumberFormat="1" applyFont="1" applyFill="1" applyBorder="1" applyAlignment="1">
      <alignment horizontal="center" vertical="center"/>
    </xf>
    <xf numFmtId="0" fontId="67" fillId="22" borderId="19" xfId="0" applyFont="1" applyFill="1" applyBorder="1" applyAlignment="1">
      <alignment horizontal="right" vertical="center" wrapText="1"/>
    </xf>
    <xf numFmtId="0" fontId="67" fillId="22" borderId="24" xfId="0" applyFont="1" applyFill="1" applyBorder="1" applyAlignment="1">
      <alignment horizontal="right" vertical="center" wrapText="1"/>
    </xf>
    <xf numFmtId="0" fontId="67" fillId="22" borderId="38" xfId="0" applyFont="1" applyFill="1" applyBorder="1" applyAlignment="1" applyProtection="1">
      <alignment horizontal="right" vertical="center" wrapText="1"/>
    </xf>
    <xf numFmtId="0" fontId="67" fillId="22" borderId="20" xfId="0" applyFont="1" applyFill="1" applyBorder="1" applyAlignment="1" applyProtection="1">
      <alignment horizontal="right" vertical="center" wrapText="1"/>
    </xf>
    <xf numFmtId="0" fontId="67" fillId="23" borderId="38" xfId="0" applyFont="1" applyFill="1" applyBorder="1" applyAlignment="1" applyProtection="1">
      <alignment horizontal="right" vertical="center" wrapText="1"/>
    </xf>
    <xf numFmtId="0" fontId="67" fillId="23" borderId="20" xfId="0" applyFont="1" applyFill="1" applyBorder="1" applyAlignment="1" applyProtection="1">
      <alignment horizontal="right" vertical="center" wrapText="1"/>
    </xf>
    <xf numFmtId="1" fontId="66" fillId="32" borderId="19" xfId="0" applyNumberFormat="1" applyFont="1" applyFill="1" applyBorder="1" applyAlignment="1">
      <alignment horizontal="center" vertical="center"/>
    </xf>
    <xf numFmtId="1" fontId="66" fillId="32" borderId="24" xfId="0" applyNumberFormat="1" applyFont="1" applyFill="1" applyBorder="1" applyAlignment="1">
      <alignment horizontal="center" vertical="center"/>
    </xf>
    <xf numFmtId="1" fontId="66" fillId="32" borderId="17" xfId="0" applyNumberFormat="1" applyFont="1" applyFill="1" applyBorder="1" applyAlignment="1">
      <alignment horizontal="center" vertical="center"/>
    </xf>
    <xf numFmtId="49" fontId="68" fillId="33" borderId="20" xfId="0" applyNumberFormat="1" applyFont="1" applyFill="1" applyBorder="1" applyAlignment="1">
      <alignment horizontal="center" vertical="center"/>
    </xf>
    <xf numFmtId="1" fontId="68" fillId="33" borderId="20" xfId="0" applyNumberFormat="1" applyFont="1" applyFill="1" applyBorder="1" applyAlignment="1">
      <alignment horizontal="center" vertical="center"/>
    </xf>
    <xf numFmtId="2" fontId="68" fillId="33" borderId="20" xfId="0" applyNumberFormat="1" applyFont="1" applyFill="1" applyBorder="1" applyAlignment="1">
      <alignment horizontal="center" vertical="center"/>
    </xf>
    <xf numFmtId="2" fontId="32" fillId="33" borderId="20" xfId="0" applyNumberFormat="1" applyFont="1" applyFill="1" applyBorder="1" applyAlignment="1">
      <alignment horizontal="center" vertical="center"/>
    </xf>
    <xf numFmtId="164" fontId="68" fillId="33" borderId="20" xfId="0" applyNumberFormat="1" applyFont="1" applyFill="1" applyBorder="1" applyAlignment="1">
      <alignment horizontal="center" vertical="center"/>
    </xf>
    <xf numFmtId="21" fontId="68" fillId="33" borderId="20" xfId="0" applyNumberFormat="1" applyFont="1" applyFill="1" applyBorder="1" applyAlignment="1">
      <alignment horizontal="center" vertical="center"/>
    </xf>
    <xf numFmtId="21" fontId="68" fillId="34" borderId="20" xfId="0" applyNumberFormat="1" applyFont="1" applyFill="1" applyBorder="1" applyAlignment="1">
      <alignment horizontal="center" vertical="center"/>
    </xf>
    <xf numFmtId="45" fontId="66" fillId="33" borderId="18" xfId="0" applyNumberFormat="1" applyFont="1" applyFill="1" applyBorder="1" applyAlignment="1" applyProtection="1">
      <alignment horizontal="center" vertical="center"/>
    </xf>
    <xf numFmtId="45" fontId="66" fillId="33" borderId="23" xfId="0" applyNumberFormat="1" applyFont="1" applyFill="1" applyBorder="1" applyAlignment="1" applyProtection="1">
      <alignment horizontal="center" vertical="center"/>
    </xf>
    <xf numFmtId="0" fontId="74" fillId="27" borderId="27" xfId="0" applyFont="1" applyFill="1" applyBorder="1" applyAlignment="1" applyProtection="1">
      <alignment horizontal="center" vertical="center"/>
    </xf>
    <xf numFmtId="0" fontId="74" fillId="25" borderId="27" xfId="0" applyFont="1" applyFill="1" applyBorder="1" applyAlignment="1" applyProtection="1">
      <alignment horizontal="center" vertical="center" wrapText="1"/>
    </xf>
    <xf numFmtId="0" fontId="76" fillId="26" borderId="54" xfId="0" applyFont="1" applyFill="1" applyBorder="1" applyAlignment="1" applyProtection="1">
      <alignment horizontal="center" vertical="center" wrapText="1"/>
    </xf>
    <xf numFmtId="0" fontId="76" fillId="26" borderId="55" xfId="0" applyFont="1" applyFill="1" applyBorder="1" applyAlignment="1" applyProtection="1">
      <alignment horizontal="center" vertical="center" wrapText="1"/>
    </xf>
    <xf numFmtId="1" fontId="76" fillId="26" borderId="56" xfId="0" applyNumberFormat="1" applyFont="1" applyFill="1" applyBorder="1" applyAlignment="1" applyProtection="1">
      <alignment horizontal="center" vertical="center" wrapText="1"/>
    </xf>
    <xf numFmtId="169" fontId="76" fillId="26" borderId="55" xfId="0" applyNumberFormat="1" applyFont="1" applyFill="1" applyBorder="1" applyAlignment="1" applyProtection="1">
      <alignment horizontal="center" vertical="center" wrapText="1"/>
    </xf>
    <xf numFmtId="1" fontId="76" fillId="26" borderId="36" xfId="0" applyNumberFormat="1" applyFont="1" applyFill="1" applyBorder="1" applyAlignment="1" applyProtection="1">
      <alignment horizontal="center" vertical="center" wrapText="1"/>
    </xf>
    <xf numFmtId="0" fontId="77" fillId="26" borderId="54" xfId="0" applyFont="1" applyFill="1" applyBorder="1" applyAlignment="1" applyProtection="1">
      <alignment horizontal="center" vertical="center" wrapText="1"/>
    </xf>
    <xf numFmtId="0" fontId="77" fillId="26" borderId="55" xfId="0" applyFont="1" applyFill="1" applyBorder="1" applyAlignment="1" applyProtection="1">
      <alignment horizontal="center" vertical="center" wrapText="1"/>
    </xf>
    <xf numFmtId="1" fontId="77" fillId="26" borderId="41" xfId="0" applyNumberFormat="1" applyFont="1" applyFill="1" applyBorder="1" applyAlignment="1" applyProtection="1">
      <alignment horizontal="center" vertical="center" wrapText="1"/>
    </xf>
    <xf numFmtId="169" fontId="77" fillId="26" borderId="55" xfId="0" applyNumberFormat="1" applyFont="1" applyFill="1" applyBorder="1" applyAlignment="1" applyProtection="1">
      <alignment horizontal="center" vertical="center" wrapText="1"/>
    </xf>
    <xf numFmtId="0" fontId="77" fillId="26" borderId="66" xfId="0" applyFont="1" applyFill="1" applyBorder="1" applyAlignment="1" applyProtection="1">
      <alignment horizontal="center" vertical="center" wrapText="1"/>
    </xf>
    <xf numFmtId="168" fontId="77" fillId="26" borderId="55" xfId="0" applyNumberFormat="1" applyFont="1" applyFill="1" applyBorder="1" applyAlignment="1" applyProtection="1">
      <alignment horizontal="center" vertical="center" wrapText="1"/>
    </xf>
    <xf numFmtId="1" fontId="77" fillId="26" borderId="36" xfId="0" applyNumberFormat="1" applyFont="1" applyFill="1" applyBorder="1" applyAlignment="1" applyProtection="1">
      <alignment horizontal="center" vertical="center" wrapText="1"/>
    </xf>
    <xf numFmtId="0" fontId="78" fillId="26" borderId="70" xfId="0" applyFont="1" applyFill="1" applyBorder="1" applyAlignment="1" applyProtection="1">
      <alignment horizontal="center" vertical="center" wrapText="1"/>
    </xf>
    <xf numFmtId="0" fontId="78" fillId="26" borderId="43" xfId="0" applyFont="1" applyFill="1" applyBorder="1" applyAlignment="1" applyProtection="1">
      <alignment horizontal="center" vertical="center" wrapText="1"/>
    </xf>
    <xf numFmtId="1" fontId="78" fillId="26" borderId="12" xfId="0" applyNumberFormat="1" applyFont="1" applyFill="1" applyBorder="1" applyAlignment="1" applyProtection="1">
      <alignment horizontal="center" vertical="center" wrapText="1"/>
    </xf>
    <xf numFmtId="169" fontId="78" fillId="26" borderId="43" xfId="0" applyNumberFormat="1" applyFont="1" applyFill="1" applyBorder="1" applyAlignment="1" applyProtection="1">
      <alignment horizontal="center" vertical="center" wrapText="1"/>
    </xf>
    <xf numFmtId="0" fontId="78" fillId="26" borderId="52" xfId="0" applyFont="1" applyFill="1" applyBorder="1" applyAlignment="1" applyProtection="1">
      <alignment horizontal="center" vertical="center" wrapText="1"/>
    </xf>
    <xf numFmtId="168" fontId="78" fillId="26" borderId="43" xfId="0" applyNumberFormat="1" applyFont="1" applyFill="1" applyBorder="1" applyAlignment="1" applyProtection="1">
      <alignment horizontal="center" vertical="center" wrapText="1"/>
    </xf>
    <xf numFmtId="1" fontId="78" fillId="26" borderId="11" xfId="0" applyNumberFormat="1" applyFont="1" applyFill="1" applyBorder="1" applyAlignment="1" applyProtection="1">
      <alignment horizontal="center" vertical="center" wrapText="1"/>
    </xf>
    <xf numFmtId="1" fontId="77" fillId="26" borderId="56" xfId="0" applyNumberFormat="1" applyFont="1" applyFill="1" applyBorder="1" applyAlignment="1" applyProtection="1">
      <alignment horizontal="center" vertical="center" wrapText="1"/>
    </xf>
    <xf numFmtId="168" fontId="76" fillId="26" borderId="55" xfId="0" applyNumberFormat="1" applyFont="1" applyFill="1" applyBorder="1" applyAlignment="1" applyProtection="1">
      <alignment horizontal="center" vertical="center" wrapText="1"/>
    </xf>
    <xf numFmtId="168" fontId="76" fillId="26" borderId="54" xfId="0" applyNumberFormat="1" applyFont="1" applyFill="1" applyBorder="1" applyAlignment="1" applyProtection="1">
      <alignment horizontal="center" vertical="center" wrapText="1"/>
    </xf>
    <xf numFmtId="1" fontId="76" fillId="26" borderId="41" xfId="0" applyNumberFormat="1" applyFont="1" applyFill="1" applyBorder="1" applyAlignment="1" applyProtection="1">
      <alignment horizontal="center" vertical="center" wrapText="1"/>
    </xf>
    <xf numFmtId="0" fontId="76" fillId="26" borderId="66" xfId="0" applyFont="1" applyFill="1" applyBorder="1" applyAlignment="1" applyProtection="1">
      <alignment horizontal="center" vertical="center" wrapText="1"/>
    </xf>
    <xf numFmtId="0" fontId="81" fillId="36" borderId="17" xfId="0" applyFont="1" applyFill="1" applyBorder="1" applyAlignment="1">
      <alignment horizontal="center" vertical="center"/>
    </xf>
    <xf numFmtId="0" fontId="82" fillId="36" borderId="17" xfId="0" applyFont="1" applyFill="1" applyBorder="1" applyAlignment="1">
      <alignment horizontal="center" vertical="center"/>
    </xf>
    <xf numFmtId="0" fontId="43" fillId="36" borderId="19" xfId="0" applyFont="1" applyFill="1" applyBorder="1" applyAlignment="1">
      <alignment horizontal="center" vertical="center"/>
    </xf>
    <xf numFmtId="167" fontId="36" fillId="31" borderId="90" xfId="0" applyNumberFormat="1" applyFont="1" applyFill="1" applyBorder="1" applyAlignment="1" applyProtection="1">
      <alignment horizontal="center" vertical="center"/>
      <protection hidden="1"/>
    </xf>
    <xf numFmtId="167" fontId="36" fillId="31" borderId="91" xfId="0" applyNumberFormat="1" applyFont="1" applyFill="1" applyBorder="1" applyAlignment="1" applyProtection="1">
      <alignment horizontal="center" vertical="center"/>
      <protection hidden="1"/>
    </xf>
    <xf numFmtId="167" fontId="36" fillId="31" borderId="92" xfId="0" applyNumberFormat="1" applyFont="1" applyFill="1" applyBorder="1" applyAlignment="1" applyProtection="1">
      <alignment horizontal="center" vertical="center"/>
      <protection hidden="1"/>
    </xf>
    <xf numFmtId="167" fontId="36" fillId="31" borderId="77" xfId="0" applyNumberFormat="1" applyFont="1" applyFill="1" applyBorder="1" applyAlignment="1" applyProtection="1">
      <alignment horizontal="center" vertical="center"/>
      <protection hidden="1"/>
    </xf>
    <xf numFmtId="167" fontId="36" fillId="31" borderId="82" xfId="0" applyNumberFormat="1" applyFont="1" applyFill="1" applyBorder="1" applyAlignment="1" applyProtection="1">
      <alignment horizontal="center" vertical="center"/>
      <protection hidden="1"/>
    </xf>
    <xf numFmtId="167" fontId="36" fillId="31" borderId="93" xfId="0" applyNumberFormat="1" applyFont="1" applyFill="1" applyBorder="1" applyAlignment="1" applyProtection="1">
      <alignment horizontal="center" vertical="center"/>
      <protection hidden="1"/>
    </xf>
    <xf numFmtId="0" fontId="83" fillId="0" borderId="0" xfId="0" applyFont="1" applyFill="1" applyBorder="1" applyAlignment="1">
      <alignment horizontal="center"/>
    </xf>
    <xf numFmtId="0" fontId="80" fillId="10" borderId="0" xfId="0" applyFont="1" applyFill="1" applyBorder="1" applyAlignment="1" applyProtection="1">
      <alignment horizontal="center" vertical="center"/>
      <protection locked="0"/>
    </xf>
    <xf numFmtId="0" fontId="85" fillId="31" borderId="0" xfId="0" applyFont="1" applyFill="1" applyBorder="1" applyAlignment="1">
      <alignment vertical="center"/>
    </xf>
    <xf numFmtId="0" fontId="86" fillId="31" borderId="0" xfId="0" applyFont="1" applyFill="1" applyBorder="1" applyAlignment="1">
      <alignment vertical="center"/>
    </xf>
    <xf numFmtId="0" fontId="53" fillId="23" borderId="0" xfId="0" applyFont="1" applyFill="1" applyBorder="1" applyAlignment="1">
      <alignment horizontal="center" vertical="center"/>
    </xf>
    <xf numFmtId="169" fontId="87" fillId="39" borderId="0" xfId="0" applyNumberFormat="1" applyFont="1" applyFill="1" applyBorder="1" applyAlignment="1" applyProtection="1">
      <alignment horizontal="center" vertical="center"/>
      <protection hidden="1"/>
    </xf>
    <xf numFmtId="0" fontId="79" fillId="39" borderId="0" xfId="0" applyFont="1" applyFill="1" applyBorder="1" applyAlignment="1">
      <alignment horizontal="center" vertical="center"/>
    </xf>
    <xf numFmtId="0" fontId="80" fillId="10" borderId="94" xfId="0" applyFont="1" applyFill="1" applyBorder="1" applyAlignment="1" applyProtection="1">
      <alignment horizontal="center" vertical="center"/>
      <protection locked="0"/>
    </xf>
    <xf numFmtId="0" fontId="85" fillId="31" borderId="94" xfId="0" applyFont="1" applyFill="1" applyBorder="1" applyAlignment="1">
      <alignment vertical="center"/>
    </xf>
    <xf numFmtId="0" fontId="86" fillId="31" borderId="94" xfId="0" applyFont="1" applyFill="1" applyBorder="1" applyAlignment="1">
      <alignment vertical="center"/>
    </xf>
    <xf numFmtId="0" fontId="88" fillId="0" borderId="0" xfId="0" applyFont="1"/>
    <xf numFmtId="0" fontId="81" fillId="14" borderId="0" xfId="0" applyFont="1" applyFill="1" applyBorder="1" applyAlignment="1" applyProtection="1">
      <alignment horizontal="center"/>
      <protection locked="0"/>
    </xf>
    <xf numFmtId="0" fontId="43" fillId="31" borderId="94" xfId="0" applyFont="1" applyFill="1" applyBorder="1" applyAlignment="1">
      <alignment horizontal="right" vertical="center"/>
    </xf>
    <xf numFmtId="0" fontId="43" fillId="31" borderId="0" xfId="0" applyFont="1" applyFill="1" applyBorder="1" applyAlignment="1">
      <alignment horizontal="right" vertical="center"/>
    </xf>
    <xf numFmtId="0" fontId="51" fillId="23" borderId="22" xfId="0" applyFont="1" applyFill="1" applyBorder="1" applyAlignment="1" applyProtection="1">
      <alignment horizontal="center" vertical="center"/>
    </xf>
    <xf numFmtId="0" fontId="51" fillId="23" borderId="18" xfId="0" applyFont="1" applyFill="1" applyBorder="1" applyAlignment="1" applyProtection="1">
      <alignment horizontal="center" vertical="center"/>
    </xf>
    <xf numFmtId="0" fontId="51" fillId="23" borderId="19" xfId="0" applyFont="1" applyFill="1" applyBorder="1" applyAlignment="1" applyProtection="1">
      <alignment horizontal="center" vertical="center"/>
    </xf>
    <xf numFmtId="0" fontId="61" fillId="26" borderId="18" xfId="0" applyFont="1" applyFill="1" applyBorder="1" applyAlignment="1" applyProtection="1">
      <alignment horizontal="center" vertical="center"/>
    </xf>
    <xf numFmtId="0" fontId="61" fillId="26" borderId="19" xfId="0" applyFont="1" applyFill="1" applyBorder="1" applyAlignment="1" applyProtection="1">
      <alignment horizontal="center" vertical="center"/>
    </xf>
    <xf numFmtId="0" fontId="43" fillId="21" borderId="0" xfId="0" applyFont="1" applyFill="1" applyBorder="1" applyAlignment="1" applyProtection="1">
      <alignment horizontal="left" vertical="center" wrapText="1" indent="1"/>
    </xf>
    <xf numFmtId="0" fontId="53" fillId="21" borderId="0" xfId="0" applyFont="1" applyFill="1" applyBorder="1" applyAlignment="1" applyProtection="1">
      <alignment horizontal="left" vertical="center" wrapText="1" indent="1"/>
    </xf>
    <xf numFmtId="0" fontId="42" fillId="9" borderId="18" xfId="0" applyFont="1" applyFill="1" applyBorder="1" applyAlignment="1" applyProtection="1">
      <alignment horizontal="center" vertical="center"/>
    </xf>
    <xf numFmtId="0" fontId="43" fillId="21" borderId="0" xfId="0" applyFont="1" applyFill="1" applyBorder="1" applyAlignment="1" applyProtection="1">
      <alignment horizontal="left" indent="2"/>
    </xf>
    <xf numFmtId="0" fontId="53" fillId="21" borderId="0" xfId="0" applyFont="1" applyFill="1" applyBorder="1" applyAlignment="1" applyProtection="1">
      <alignment horizontal="left" indent="2"/>
    </xf>
    <xf numFmtId="0" fontId="54" fillId="24" borderId="0" xfId="1" applyFont="1" applyFill="1" applyBorder="1" applyAlignment="1" applyProtection="1">
      <alignment horizontal="center" vertical="center" wrapText="1"/>
    </xf>
    <xf numFmtId="0" fontId="54" fillId="24" borderId="0" xfId="1" applyFont="1" applyFill="1" applyBorder="1" applyAlignment="1" applyProtection="1">
      <alignment horizontal="center" vertical="center"/>
    </xf>
    <xf numFmtId="0" fontId="43" fillId="21" borderId="0" xfId="0" applyFont="1" applyFill="1" applyBorder="1" applyAlignment="1" applyProtection="1">
      <alignment horizontal="left" wrapText="1" indent="2"/>
    </xf>
    <xf numFmtId="0" fontId="53" fillId="21" borderId="0" xfId="0" applyFont="1" applyFill="1" applyBorder="1" applyAlignment="1" applyProtection="1">
      <alignment horizontal="left" wrapText="1" indent="2"/>
    </xf>
    <xf numFmtId="0" fontId="55" fillId="21" borderId="0" xfId="0" applyFont="1" applyFill="1" applyBorder="1" applyAlignment="1" applyProtection="1">
      <alignment horizontal="left" vertical="center" wrapText="1" indent="2"/>
    </xf>
    <xf numFmtId="0" fontId="56" fillId="21" borderId="0" xfId="0" applyFont="1" applyFill="1" applyBorder="1" applyAlignment="1" applyProtection="1">
      <alignment horizontal="left" vertical="center" wrapText="1" indent="2"/>
    </xf>
    <xf numFmtId="0" fontId="17" fillId="0" borderId="0" xfId="0" applyFont="1" applyBorder="1" applyAlignment="1" applyProtection="1">
      <alignment horizontal="center" vertical="center" wrapText="1"/>
    </xf>
    <xf numFmtId="0" fontId="49" fillId="23" borderId="0" xfId="0" applyFont="1" applyFill="1" applyBorder="1" applyAlignment="1" applyProtection="1">
      <alignment horizontal="center" vertical="center"/>
    </xf>
    <xf numFmtId="0" fontId="14" fillId="9" borderId="9" xfId="0" applyFont="1" applyFill="1" applyBorder="1" applyAlignment="1" applyProtection="1">
      <alignment horizontal="center" wrapText="1"/>
    </xf>
    <xf numFmtId="0" fontId="14" fillId="9" borderId="0" xfId="0" applyFont="1" applyFill="1" applyBorder="1" applyAlignment="1" applyProtection="1">
      <alignment horizontal="center" wrapText="1"/>
    </xf>
    <xf numFmtId="0" fontId="0" fillId="9" borderId="0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43" fillId="21" borderId="0" xfId="0" applyFont="1" applyFill="1" applyBorder="1" applyAlignment="1" applyProtection="1">
      <alignment horizontal="left" vertical="center" wrapText="1" indent="2"/>
    </xf>
    <xf numFmtId="0" fontId="67" fillId="22" borderId="23" xfId="0" applyFont="1" applyFill="1" applyBorder="1" applyAlignment="1">
      <alignment horizontal="right" vertical="center" wrapText="1"/>
    </xf>
    <xf numFmtId="0" fontId="67" fillId="22" borderId="37" xfId="0" applyFont="1" applyFill="1" applyBorder="1" applyAlignment="1">
      <alignment horizontal="right" vertical="center" wrapText="1"/>
    </xf>
    <xf numFmtId="0" fontId="67" fillId="22" borderId="18" xfId="0" applyFont="1" applyFill="1" applyBorder="1" applyAlignment="1">
      <alignment horizontal="right" vertical="center" wrapText="1"/>
    </xf>
    <xf numFmtId="0" fontId="67" fillId="22" borderId="33" xfId="0" applyFont="1" applyFill="1" applyBorder="1" applyAlignment="1">
      <alignment horizontal="right" vertical="center" wrapText="1"/>
    </xf>
    <xf numFmtId="0" fontId="55" fillId="21" borderId="0" xfId="0" applyFont="1" applyFill="1" applyBorder="1" applyAlignment="1" applyProtection="1">
      <alignment horizontal="left" wrapText="1" indent="2"/>
    </xf>
    <xf numFmtId="0" fontId="56" fillId="21" borderId="0" xfId="0" applyFont="1" applyFill="1" applyBorder="1" applyAlignment="1" applyProtection="1">
      <alignment horizontal="left" wrapText="1" indent="2"/>
    </xf>
    <xf numFmtId="0" fontId="74" fillId="25" borderId="0" xfId="0" applyFont="1" applyFill="1" applyBorder="1" applyAlignment="1" applyProtection="1">
      <alignment horizontal="center" vertical="center" wrapText="1"/>
    </xf>
    <xf numFmtId="0" fontId="66" fillId="31" borderId="17" xfId="0" applyFont="1" applyFill="1" applyBorder="1" applyAlignment="1" applyProtection="1">
      <alignment horizontal="fill" vertical="center"/>
    </xf>
    <xf numFmtId="0" fontId="49" fillId="23" borderId="17" xfId="0" applyFont="1" applyFill="1" applyBorder="1" applyAlignment="1" applyProtection="1">
      <alignment vertical="center"/>
    </xf>
    <xf numFmtId="0" fontId="49" fillId="23" borderId="19" xfId="0" applyFont="1" applyFill="1" applyBorder="1" applyAlignment="1" applyProtection="1">
      <alignment vertical="center"/>
    </xf>
    <xf numFmtId="0" fontId="71" fillId="16" borderId="22" xfId="0" applyFont="1" applyFill="1" applyBorder="1" applyAlignment="1" applyProtection="1">
      <alignment horizontal="center" vertical="center" wrapText="1"/>
    </xf>
    <xf numFmtId="0" fontId="72" fillId="16" borderId="18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wrapText="1"/>
    </xf>
    <xf numFmtId="0" fontId="40" fillId="0" borderId="7" xfId="0" applyFont="1" applyFill="1" applyBorder="1" applyAlignment="1">
      <alignment wrapText="1"/>
    </xf>
    <xf numFmtId="0" fontId="28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83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9" fontId="28" fillId="0" borderId="0" xfId="0" applyNumberFormat="1" applyFont="1" applyFill="1" applyBorder="1" applyAlignment="1">
      <alignment horizontal="center" wrapText="1"/>
    </xf>
    <xf numFmtId="0" fontId="43" fillId="36" borderId="15" xfId="0" applyFont="1" applyFill="1" applyBorder="1" applyAlignment="1">
      <alignment horizontal="center" vertical="center"/>
    </xf>
    <xf numFmtId="0" fontId="43" fillId="36" borderId="16" xfId="0" applyFont="1" applyFill="1" applyBorder="1" applyAlignment="1">
      <alignment horizontal="center" vertical="center"/>
    </xf>
    <xf numFmtId="0" fontId="43" fillId="36" borderId="83" xfId="0" applyFont="1" applyFill="1" applyBorder="1" applyAlignment="1">
      <alignment horizontal="center" vertical="center"/>
    </xf>
    <xf numFmtId="0" fontId="53" fillId="36" borderId="84" xfId="0" applyFont="1" applyFill="1" applyBorder="1" applyAlignment="1">
      <alignment horizontal="center" vertical="center"/>
    </xf>
    <xf numFmtId="0" fontId="53" fillId="36" borderId="85" xfId="0" applyFont="1" applyFill="1" applyBorder="1" applyAlignment="1">
      <alignment horizontal="center" vertical="center"/>
    </xf>
    <xf numFmtId="0" fontId="53" fillId="36" borderId="8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81" fillId="37" borderId="0" xfId="0" applyFont="1" applyFill="1" applyBorder="1" applyAlignment="1">
      <alignment horizontal="center" vertical="center"/>
    </xf>
    <xf numFmtId="0" fontId="84" fillId="38" borderId="0" xfId="0" applyFont="1" applyFill="1" applyBorder="1" applyAlignment="1">
      <alignment horizontal="center" vertical="center"/>
    </xf>
    <xf numFmtId="0" fontId="84" fillId="38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 wrapText="1"/>
    </xf>
    <xf numFmtId="0" fontId="90" fillId="23" borderId="87" xfId="0" applyFont="1" applyFill="1" applyBorder="1" applyAlignment="1">
      <alignment horizontal="center" vertical="center"/>
    </xf>
    <xf numFmtId="0" fontId="90" fillId="23" borderId="88" xfId="0" applyFont="1" applyFill="1" applyBorder="1" applyAlignment="1">
      <alignment horizontal="center" vertical="center"/>
    </xf>
    <xf numFmtId="0" fontId="90" fillId="23" borderId="89" xfId="0" applyFont="1" applyFill="1" applyBorder="1" applyAlignment="1">
      <alignment horizontal="center" vertical="center"/>
    </xf>
    <xf numFmtId="0" fontId="90" fillId="36" borderId="24" xfId="0" applyFont="1" applyFill="1" applyBorder="1" applyAlignment="1">
      <alignment horizontal="center" vertical="center"/>
    </xf>
    <xf numFmtId="0" fontId="90" fillId="36" borderId="17" xfId="0" applyFont="1" applyFill="1" applyBorder="1" applyAlignment="1">
      <alignment horizontal="center" vertical="center"/>
    </xf>
    <xf numFmtId="0" fontId="89" fillId="21" borderId="0" xfId="0" applyFont="1" applyFill="1" applyBorder="1" applyAlignment="1" applyProtection="1">
      <alignment horizontal="left"/>
    </xf>
    <xf numFmtId="0" fontId="41" fillId="21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 wrapText="1"/>
    </xf>
    <xf numFmtId="0" fontId="51" fillId="23" borderId="0" xfId="0" applyFont="1" applyFill="1" applyBorder="1" applyAlignment="1" applyProtection="1">
      <alignment horizontal="left" indent="1"/>
    </xf>
    <xf numFmtId="0" fontId="51" fillId="23" borderId="0" xfId="0" applyFont="1" applyFill="1" applyBorder="1" applyAlignment="1" applyProtection="1">
      <alignment horizontal="left" indent="1"/>
    </xf>
    <xf numFmtId="0" fontId="47" fillId="23" borderId="0" xfId="0" applyFont="1" applyFill="1" applyBorder="1" applyAlignment="1" applyProtection="1">
      <alignment horizontal="left" indent="1"/>
    </xf>
    <xf numFmtId="0" fontId="52" fillId="23" borderId="0" xfId="0" applyFont="1" applyFill="1" applyBorder="1" applyAlignment="1" applyProtection="1">
      <alignment horizontal="left" indent="1"/>
    </xf>
    <xf numFmtId="0" fontId="47" fillId="23" borderId="0" xfId="0" applyFont="1" applyFill="1" applyBorder="1" applyAlignment="1" applyProtection="1">
      <alignment horizontal="left" indent="1"/>
    </xf>
    <xf numFmtId="0" fontId="16" fillId="0" borderId="0" xfId="0" applyFont="1" applyFill="1" applyBorder="1" applyProtection="1"/>
    <xf numFmtId="0" fontId="0" fillId="0" borderId="0" xfId="0" applyFill="1" applyBorder="1" applyProtection="1"/>
    <xf numFmtId="0" fontId="34" fillId="0" borderId="0" xfId="0" applyFont="1" applyFill="1" applyBorder="1" applyAlignment="1" applyProtection="1">
      <alignment horizontal="center"/>
    </xf>
    <xf numFmtId="0" fontId="35" fillId="0" borderId="0" xfId="0" applyFont="1" applyFill="1" applyBorder="1" applyAlignment="1" applyProtection="1">
      <alignment horizontal="center"/>
    </xf>
    <xf numFmtId="0" fontId="34" fillId="23" borderId="0" xfId="0" applyFont="1" applyFill="1" applyBorder="1" applyAlignment="1" applyProtection="1">
      <alignment horizontal="center"/>
    </xf>
    <xf numFmtId="0" fontId="35" fillId="23" borderId="0" xfId="0" applyFont="1" applyFill="1" applyBorder="1" applyAlignment="1" applyProtection="1">
      <alignment horizontal="center"/>
    </xf>
    <xf numFmtId="0" fontId="49" fillId="23" borderId="0" xfId="0" applyFont="1" applyFill="1" applyBorder="1" applyAlignment="1" applyProtection="1">
      <alignment horizontal="left" indent="1"/>
    </xf>
    <xf numFmtId="0" fontId="45" fillId="23" borderId="0" xfId="0" applyFont="1" applyFill="1" applyBorder="1" applyAlignment="1" applyProtection="1">
      <alignment horizontal="left" indent="1"/>
    </xf>
    <xf numFmtId="0" fontId="46" fillId="23" borderId="0" xfId="0" applyFont="1" applyFill="1" applyBorder="1" applyAlignment="1" applyProtection="1">
      <alignment horizontal="left" indent="1"/>
    </xf>
    <xf numFmtId="0" fontId="50" fillId="23" borderId="0" xfId="0" applyFont="1" applyFill="1" applyBorder="1" applyAlignment="1" applyProtection="1">
      <alignment horizontal="left" indent="1"/>
    </xf>
    <xf numFmtId="0" fontId="49" fillId="23" borderId="0" xfId="0" applyFont="1" applyFill="1" applyBorder="1" applyAlignment="1" applyProtection="1">
      <alignment horizontal="left" indent="1"/>
    </xf>
    <xf numFmtId="0" fontId="64" fillId="23" borderId="0" xfId="0" applyFont="1" applyFill="1" applyBorder="1" applyAlignment="1" applyProtection="1">
      <alignment horizontal="left" indent="1"/>
    </xf>
    <xf numFmtId="0" fontId="58" fillId="23" borderId="0" xfId="0" applyFont="1" applyFill="1" applyBorder="1" applyAlignment="1" applyProtection="1">
      <alignment horizontal="left" indent="1"/>
    </xf>
    <xf numFmtId="0" fontId="58" fillId="0" borderId="0" xfId="0" applyFont="1" applyFill="1" applyBorder="1" applyAlignment="1" applyProtection="1">
      <alignment horizontal="left" indent="1"/>
    </xf>
    <xf numFmtId="0" fontId="49" fillId="0" borderId="0" xfId="0" applyFont="1" applyFill="1" applyBorder="1" applyAlignment="1" applyProtection="1">
      <alignment horizontal="left" indent="1"/>
    </xf>
    <xf numFmtId="0" fontId="62" fillId="26" borderId="18" xfId="0" applyFont="1" applyFill="1" applyBorder="1" applyAlignment="1" applyProtection="1">
      <alignment horizontal="center" vertical="center"/>
    </xf>
    <xf numFmtId="0" fontId="62" fillId="26" borderId="19" xfId="0" applyFont="1" applyFill="1" applyBorder="1" applyAlignment="1" applyProtection="1">
      <alignment horizontal="center" vertical="center"/>
    </xf>
    <xf numFmtId="0" fontId="48" fillId="0" borderId="19" xfId="0" applyFont="1" applyBorder="1" applyAlignment="1" applyProtection="1">
      <alignment horizontal="center" vertical="center"/>
    </xf>
    <xf numFmtId="1" fontId="63" fillId="2" borderId="23" xfId="0" applyNumberFormat="1" applyFont="1" applyFill="1" applyBorder="1" applyAlignment="1" applyProtection="1">
      <alignment horizontal="center" vertical="center" wrapText="1"/>
    </xf>
    <xf numFmtId="0" fontId="48" fillId="0" borderId="24" xfId="0" applyFont="1" applyBorder="1" applyAlignment="1" applyProtection="1">
      <alignment horizontal="center" vertical="center" wrapText="1"/>
    </xf>
    <xf numFmtId="1" fontId="51" fillId="23" borderId="25" xfId="0" applyNumberFormat="1" applyFont="1" applyFill="1" applyBorder="1" applyAlignment="1" applyProtection="1">
      <alignment horizontal="center" vertical="center" wrapText="1"/>
    </xf>
    <xf numFmtId="1" fontId="51" fillId="23" borderId="23" xfId="0" applyNumberFormat="1" applyFont="1" applyFill="1" applyBorder="1" applyAlignment="1" applyProtection="1">
      <alignment horizontal="center" vertical="center" wrapText="1"/>
    </xf>
    <xf numFmtId="1" fontId="51" fillId="23" borderId="24" xfId="0" applyNumberFormat="1" applyFont="1" applyFill="1" applyBorder="1" applyAlignment="1" applyProtection="1">
      <alignment horizontal="center" vertical="center" wrapText="1"/>
    </xf>
    <xf numFmtId="0" fontId="42" fillId="20" borderId="23" xfId="0" applyFont="1" applyFill="1" applyBorder="1" applyAlignment="1" applyProtection="1">
      <alignment horizontal="center" vertical="center"/>
    </xf>
    <xf numFmtId="0" fontId="48" fillId="0" borderId="24" xfId="0" applyFont="1" applyBorder="1" applyAlignment="1" applyProtection="1">
      <alignment horizontal="center" vertical="center"/>
    </xf>
    <xf numFmtId="0" fontId="51" fillId="23" borderId="25" xfId="0" applyFont="1" applyFill="1" applyBorder="1" applyAlignment="1" applyProtection="1">
      <alignment horizontal="center" vertical="center"/>
    </xf>
    <xf numFmtId="0" fontId="51" fillId="23" borderId="23" xfId="0" applyFont="1" applyFill="1" applyBorder="1" applyAlignment="1" applyProtection="1">
      <alignment horizontal="center" vertical="center"/>
    </xf>
    <xf numFmtId="0" fontId="51" fillId="23" borderId="24" xfId="0" applyFont="1" applyFill="1" applyBorder="1" applyAlignment="1" applyProtection="1">
      <alignment horizontal="center" vertical="center"/>
    </xf>
    <xf numFmtId="0" fontId="42" fillId="16" borderId="23" xfId="0" applyFont="1" applyFill="1" applyBorder="1" applyAlignment="1" applyProtection="1">
      <alignment horizontal="center" vertical="center"/>
    </xf>
    <xf numFmtId="0" fontId="42" fillId="18" borderId="23" xfId="0" applyFont="1" applyFill="1" applyBorder="1" applyAlignment="1" applyProtection="1">
      <alignment horizontal="center" vertical="center"/>
    </xf>
    <xf numFmtId="0" fontId="42" fillId="19" borderId="0" xfId="0" applyFont="1" applyFill="1" applyBorder="1" applyAlignment="1" applyProtection="1">
      <alignment horizontal="center" vertical="center"/>
    </xf>
    <xf numFmtId="0" fontId="48" fillId="0" borderId="17" xfId="0" applyFont="1" applyBorder="1" applyAlignment="1" applyProtection="1">
      <alignment horizontal="center" vertical="center"/>
    </xf>
    <xf numFmtId="0" fontId="51" fillId="23" borderId="21" xfId="0" applyFont="1" applyFill="1" applyBorder="1" applyAlignment="1" applyProtection="1">
      <alignment horizontal="center" vertical="center"/>
    </xf>
    <xf numFmtId="0" fontId="51" fillId="23" borderId="0" xfId="0" applyFont="1" applyFill="1" applyBorder="1" applyAlignment="1" applyProtection="1">
      <alignment horizontal="center" vertical="center"/>
    </xf>
    <xf numFmtId="0" fontId="51" fillId="23" borderId="17" xfId="0" applyFont="1" applyFill="1" applyBorder="1" applyAlignment="1" applyProtection="1">
      <alignment horizontal="center" vertical="center"/>
    </xf>
    <xf numFmtId="0" fontId="0" fillId="21" borderId="0" xfId="0" applyFill="1" applyProtection="1"/>
    <xf numFmtId="0" fontId="0" fillId="0" borderId="0" xfId="0" applyAlignment="1" applyProtection="1">
      <alignment horizontal="center" vertical="center" wrapText="1"/>
    </xf>
    <xf numFmtId="1" fontId="0" fillId="0" borderId="0" xfId="0" applyNumberFormat="1" applyProtection="1"/>
    <xf numFmtId="0" fontId="26" fillId="40" borderId="95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76" fillId="26" borderId="45" xfId="0" applyFont="1" applyFill="1" applyBorder="1" applyAlignment="1" applyProtection="1">
      <alignment horizontal="center" vertical="center" wrapText="1"/>
    </xf>
    <xf numFmtId="0" fontId="22" fillId="31" borderId="48" xfId="0" applyFont="1" applyFill="1" applyBorder="1" applyAlignment="1" applyProtection="1">
      <alignment horizontal="center" vertical="center" wrapText="1"/>
    </xf>
    <xf numFmtId="45" fontId="22" fillId="23" borderId="51" xfId="0" applyNumberFormat="1" applyFont="1" applyFill="1" applyBorder="1" applyAlignment="1" applyProtection="1">
      <alignment horizontal="center" vertical="center" wrapText="1"/>
    </xf>
    <xf numFmtId="1" fontId="22" fillId="23" borderId="57" xfId="0" applyNumberFormat="1" applyFont="1" applyFill="1" applyBorder="1" applyAlignment="1" applyProtection="1">
      <alignment horizontal="center" vertical="center" wrapText="1"/>
    </xf>
    <xf numFmtId="1" fontId="22" fillId="23" borderId="62" xfId="0" applyNumberFormat="1" applyFont="1" applyFill="1" applyBorder="1" applyAlignment="1" applyProtection="1">
      <alignment horizontal="center" vertical="center" wrapText="1"/>
    </xf>
    <xf numFmtId="0" fontId="70" fillId="0" borderId="0" xfId="0" applyFont="1" applyProtection="1"/>
    <xf numFmtId="0" fontId="76" fillId="26" borderId="46" xfId="0" applyFont="1" applyFill="1" applyBorder="1" applyAlignment="1" applyProtection="1">
      <alignment horizontal="center" vertical="center" wrapText="1"/>
    </xf>
    <xf numFmtId="0" fontId="22" fillId="5" borderId="49" xfId="0" applyFont="1" applyFill="1" applyBorder="1" applyAlignment="1" applyProtection="1">
      <alignment horizontal="center" vertical="center" wrapText="1"/>
    </xf>
    <xf numFmtId="45" fontId="22" fillId="23" borderId="50" xfId="0" applyNumberFormat="1" applyFont="1" applyFill="1" applyBorder="1" applyAlignment="1" applyProtection="1">
      <alignment horizontal="center" vertical="center" wrapText="1"/>
    </xf>
    <xf numFmtId="1" fontId="22" fillId="23" borderId="58" xfId="0" applyNumberFormat="1" applyFont="1" applyFill="1" applyBorder="1" applyAlignment="1" applyProtection="1">
      <alignment horizontal="center" vertical="center" wrapText="1"/>
    </xf>
    <xf numFmtId="1" fontId="22" fillId="23" borderId="63" xfId="0" applyNumberFormat="1" applyFont="1" applyFill="1" applyBorder="1" applyAlignment="1" applyProtection="1">
      <alignment horizontal="center" vertical="center" wrapText="1"/>
    </xf>
    <xf numFmtId="0" fontId="22" fillId="2" borderId="50" xfId="0" applyFont="1" applyFill="1" applyBorder="1" applyAlignment="1" applyProtection="1">
      <alignment horizontal="center" vertical="center" wrapText="1"/>
    </xf>
    <xf numFmtId="0" fontId="22" fillId="6" borderId="49" xfId="0" applyFont="1" applyFill="1" applyBorder="1" applyAlignment="1" applyProtection="1">
      <alignment horizontal="center" vertical="center" wrapText="1"/>
    </xf>
    <xf numFmtId="1" fontId="22" fillId="23" borderId="51" xfId="0" applyNumberFormat="1" applyFont="1" applyFill="1" applyBorder="1" applyAlignment="1" applyProtection="1">
      <alignment horizontal="center" vertical="center" wrapText="1"/>
    </xf>
    <xf numFmtId="0" fontId="22" fillId="7" borderId="49" xfId="0" applyFont="1" applyFill="1" applyBorder="1" applyAlignment="1" applyProtection="1">
      <alignment horizontal="center" vertical="center" wrapText="1"/>
    </xf>
    <xf numFmtId="0" fontId="22" fillId="31" borderId="49" xfId="0" applyFont="1" applyFill="1" applyBorder="1" applyAlignment="1" applyProtection="1">
      <alignment horizontal="center" vertical="center" wrapText="1"/>
    </xf>
    <xf numFmtId="0" fontId="30" fillId="11" borderId="49" xfId="0" applyFont="1" applyFill="1" applyBorder="1" applyAlignment="1" applyProtection="1">
      <alignment horizontal="center" vertical="center" wrapText="1"/>
    </xf>
    <xf numFmtId="0" fontId="76" fillId="26" borderId="47" xfId="0" applyFont="1" applyFill="1" applyBorder="1" applyAlignment="1" applyProtection="1">
      <alignment horizontal="center" vertical="center" wrapText="1"/>
    </xf>
    <xf numFmtId="0" fontId="22" fillId="8" borderId="59" xfId="0" applyFont="1" applyFill="1" applyBorder="1" applyAlignment="1" applyProtection="1">
      <alignment horizontal="center" vertical="center" wrapText="1"/>
    </xf>
    <xf numFmtId="45" fontId="22" fillId="23" borderId="60" xfId="0" applyNumberFormat="1" applyFont="1" applyFill="1" applyBorder="1" applyAlignment="1" applyProtection="1">
      <alignment horizontal="center" vertical="center" wrapText="1"/>
    </xf>
    <xf numFmtId="1" fontId="22" fillId="23" borderId="61" xfId="0" applyNumberFormat="1" applyFont="1" applyFill="1" applyBorder="1" applyAlignment="1" applyProtection="1">
      <alignment horizontal="center" vertical="center" wrapText="1"/>
    </xf>
    <xf numFmtId="1" fontId="22" fillId="23" borderId="64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 applyProtection="1"/>
    <xf numFmtId="0" fontId="43" fillId="3" borderId="0" xfId="0" applyFont="1" applyFill="1" applyBorder="1" applyAlignment="1" applyProtection="1">
      <alignment horizontal="left" vertical="center" wrapText="1" indent="2"/>
    </xf>
    <xf numFmtId="0" fontId="77" fillId="26" borderId="67" xfId="0" applyFont="1" applyFill="1" applyBorder="1" applyAlignment="1" applyProtection="1">
      <alignment horizontal="center" vertical="center" wrapText="1"/>
    </xf>
    <xf numFmtId="0" fontId="22" fillId="31" borderId="42" xfId="0" applyFont="1" applyFill="1" applyBorder="1" applyAlignment="1" applyProtection="1">
      <alignment horizontal="center" vertical="center" wrapText="1"/>
    </xf>
    <xf numFmtId="45" fontId="22" fillId="23" borderId="42" xfId="0" applyNumberFormat="1" applyFont="1" applyFill="1" applyBorder="1" applyAlignment="1" applyProtection="1">
      <alignment horizontal="center" vertical="center" wrapText="1"/>
    </xf>
    <xf numFmtId="1" fontId="22" fillId="23" borderId="34" xfId="0" applyNumberFormat="1" applyFont="1" applyFill="1" applyBorder="1" applyAlignment="1" applyProtection="1">
      <alignment horizontal="center" vertical="center" wrapText="1"/>
    </xf>
    <xf numFmtId="0" fontId="76" fillId="26" borderId="68" xfId="0" applyFont="1" applyFill="1" applyBorder="1" applyAlignment="1" applyProtection="1">
      <alignment horizontal="center" vertical="center" wrapText="1"/>
    </xf>
    <xf numFmtId="1" fontId="22" fillId="23" borderId="44" xfId="0" applyNumberFormat="1" applyFont="1" applyFill="1" applyBorder="1" applyAlignment="1" applyProtection="1">
      <alignment horizontal="center" vertical="center" wrapText="1"/>
    </xf>
    <xf numFmtId="0" fontId="77" fillId="26" borderId="24" xfId="0" applyFont="1" applyFill="1" applyBorder="1" applyAlignment="1" applyProtection="1">
      <alignment horizontal="center" vertical="center" wrapText="1"/>
    </xf>
    <xf numFmtId="0" fontId="22" fillId="5" borderId="20" xfId="0" applyFont="1" applyFill="1" applyBorder="1" applyAlignment="1" applyProtection="1">
      <alignment horizontal="center" vertical="center" wrapText="1"/>
    </xf>
    <xf numFmtId="45" fontId="22" fillId="23" borderId="20" xfId="0" applyNumberFormat="1" applyFont="1" applyFill="1" applyBorder="1" applyAlignment="1" applyProtection="1">
      <alignment horizontal="center" vertical="center" wrapText="1"/>
    </xf>
    <xf numFmtId="1" fontId="22" fillId="23" borderId="32" xfId="0" applyNumberFormat="1" applyFont="1" applyFill="1" applyBorder="1" applyAlignment="1" applyProtection="1">
      <alignment horizontal="center" vertical="center" wrapText="1"/>
    </xf>
    <xf numFmtId="0" fontId="76" fillId="26" borderId="69" xfId="0" applyFont="1" applyFill="1" applyBorder="1" applyAlignment="1" applyProtection="1">
      <alignment horizontal="center" vertical="center" wrapText="1"/>
    </xf>
    <xf numFmtId="0" fontId="22" fillId="7" borderId="20" xfId="0" applyFont="1" applyFill="1" applyBorder="1" applyAlignment="1" applyProtection="1">
      <alignment horizontal="center" vertical="center" wrapText="1"/>
    </xf>
    <xf numFmtId="1" fontId="22" fillId="23" borderId="23" xfId="0" applyNumberFormat="1" applyFont="1" applyFill="1" applyBorder="1" applyAlignment="1" applyProtection="1">
      <alignment horizontal="center" vertical="center" wrapText="1"/>
    </xf>
    <xf numFmtId="0" fontId="30" fillId="11" borderId="20" xfId="0" applyFont="1" applyFill="1" applyBorder="1" applyAlignment="1" applyProtection="1">
      <alignment horizontal="center" vertical="center" wrapText="1"/>
    </xf>
    <xf numFmtId="0" fontId="22" fillId="6" borderId="20" xfId="0" applyFont="1" applyFill="1" applyBorder="1" applyAlignment="1" applyProtection="1">
      <alignment horizontal="center" vertical="center" wrapText="1"/>
    </xf>
    <xf numFmtId="1" fontId="22" fillId="23" borderId="20" xfId="0" applyNumberFormat="1" applyFont="1" applyFill="1" applyBorder="1" applyAlignment="1" applyProtection="1">
      <alignment horizontal="center" vertical="center" wrapText="1"/>
    </xf>
    <xf numFmtId="0" fontId="22" fillId="8" borderId="20" xfId="0" applyFont="1" applyFill="1" applyBorder="1" applyAlignment="1" applyProtection="1">
      <alignment horizontal="center" vertical="center" wrapText="1"/>
    </xf>
    <xf numFmtId="0" fontId="22" fillId="31" borderId="20" xfId="0" applyFont="1" applyFill="1" applyBorder="1" applyAlignment="1" applyProtection="1">
      <alignment horizontal="center" vertical="center" wrapText="1"/>
    </xf>
    <xf numFmtId="0" fontId="22" fillId="12" borderId="20" xfId="0" applyFont="1" applyFill="1" applyBorder="1" applyAlignment="1" applyProtection="1">
      <alignment horizontal="center" vertical="center" wrapText="1"/>
    </xf>
    <xf numFmtId="0" fontId="77" fillId="26" borderId="17" xfId="0" applyFont="1" applyFill="1" applyBorder="1" applyAlignment="1" applyProtection="1">
      <alignment horizontal="center" vertical="center" wrapText="1"/>
    </xf>
    <xf numFmtId="0" fontId="22" fillId="8" borderId="26" xfId="0" applyFont="1" applyFill="1" applyBorder="1" applyAlignment="1" applyProtection="1">
      <alignment horizontal="center" vertical="center" wrapText="1"/>
    </xf>
    <xf numFmtId="45" fontId="22" fillId="23" borderId="26" xfId="0" applyNumberFormat="1" applyFont="1" applyFill="1" applyBorder="1" applyAlignment="1" applyProtection="1">
      <alignment horizontal="center" vertical="center" wrapText="1"/>
    </xf>
    <xf numFmtId="1" fontId="22" fillId="23" borderId="35" xfId="0" applyNumberFormat="1" applyFont="1" applyFill="1" applyBorder="1" applyAlignment="1" applyProtection="1">
      <alignment horizontal="center" vertical="center" wrapText="1"/>
    </xf>
    <xf numFmtId="0" fontId="76" fillId="26" borderId="65" xfId="0" applyFont="1" applyFill="1" applyBorder="1" applyAlignment="1" applyProtection="1">
      <alignment horizontal="center" vertical="center" wrapText="1"/>
    </xf>
    <xf numFmtId="0" fontId="22" fillId="10" borderId="26" xfId="0" applyFont="1" applyFill="1" applyBorder="1" applyAlignment="1" applyProtection="1">
      <alignment horizontal="center" vertical="center" wrapText="1"/>
    </xf>
    <xf numFmtId="170" fontId="22" fillId="9" borderId="26" xfId="0" applyNumberFormat="1" applyFont="1" applyFill="1" applyBorder="1" applyAlignment="1" applyProtection="1">
      <alignment horizontal="center" vertical="center" wrapText="1"/>
    </xf>
    <xf numFmtId="1" fontId="22" fillId="9" borderId="35" xfId="0" applyNumberFormat="1" applyFont="1" applyFill="1" applyBorder="1" applyAlignment="1" applyProtection="1">
      <alignment horizontal="center" vertical="center" wrapText="1"/>
    </xf>
    <xf numFmtId="1" fontId="22" fillId="23" borderId="0" xfId="0" applyNumberFormat="1" applyFont="1" applyFill="1" applyBorder="1" applyAlignment="1" applyProtection="1">
      <alignment horizontal="center" vertical="center" wrapText="1"/>
    </xf>
    <xf numFmtId="0" fontId="76" fillId="26" borderId="71" xfId="0" applyFont="1" applyFill="1" applyBorder="1" applyAlignment="1" applyProtection="1">
      <alignment horizontal="center" vertical="center" wrapText="1"/>
    </xf>
    <xf numFmtId="0" fontId="22" fillId="31" borderId="72" xfId="0" applyFont="1" applyFill="1" applyBorder="1" applyAlignment="1" applyProtection="1">
      <alignment horizontal="center" vertical="center" wrapText="1"/>
    </xf>
    <xf numFmtId="45" fontId="22" fillId="23" borderId="72" xfId="0" applyNumberFormat="1" applyFont="1" applyFill="1" applyBorder="1" applyAlignment="1" applyProtection="1">
      <alignment horizontal="center" vertical="center" wrapText="1"/>
    </xf>
    <xf numFmtId="1" fontId="22" fillId="23" borderId="30" xfId="0" applyNumberFormat="1" applyFont="1" applyFill="1" applyBorder="1" applyAlignment="1" applyProtection="1">
      <alignment horizontal="center" vertical="center" wrapText="1"/>
    </xf>
    <xf numFmtId="0" fontId="76" fillId="26" borderId="73" xfId="0" applyFont="1" applyFill="1" applyBorder="1" applyAlignment="1" applyProtection="1">
      <alignment horizontal="center" vertical="center" wrapText="1"/>
    </xf>
    <xf numFmtId="1" fontId="22" fillId="23" borderId="31" xfId="0" applyNumberFormat="1" applyFont="1" applyFill="1" applyBorder="1" applyAlignment="1" applyProtection="1">
      <alignment horizontal="center" vertical="center" wrapText="1"/>
    </xf>
    <xf numFmtId="0" fontId="76" fillId="26" borderId="24" xfId="0" applyFont="1" applyFill="1" applyBorder="1" applyAlignment="1" applyProtection="1">
      <alignment horizontal="center" vertical="center" wrapText="1"/>
    </xf>
    <xf numFmtId="1" fontId="22" fillId="23" borderId="28" xfId="0" applyNumberFormat="1" applyFont="1" applyFill="1" applyBorder="1" applyAlignment="1" applyProtection="1">
      <alignment horizontal="center" vertical="center" wrapText="1"/>
    </xf>
    <xf numFmtId="0" fontId="76" fillId="26" borderId="29" xfId="0" applyFont="1" applyFill="1" applyBorder="1" applyAlignment="1" applyProtection="1">
      <alignment horizontal="center" vertical="center" wrapText="1"/>
    </xf>
    <xf numFmtId="0" fontId="76" fillId="26" borderId="17" xfId="0" applyFont="1" applyFill="1" applyBorder="1" applyAlignment="1" applyProtection="1">
      <alignment horizontal="center" vertical="center" wrapText="1"/>
    </xf>
    <xf numFmtId="1" fontId="22" fillId="9" borderId="10" xfId="0" applyNumberFormat="1" applyFont="1" applyFill="1" applyBorder="1" applyAlignment="1" applyProtection="1">
      <alignment horizontal="center" vertical="center" wrapText="1"/>
    </xf>
    <xf numFmtId="0" fontId="76" fillId="26" borderId="53" xfId="0" applyFont="1" applyFill="1" applyBorder="1" applyAlignment="1" applyProtection="1">
      <alignment horizontal="center" vertical="center" wrapText="1"/>
    </xf>
    <xf numFmtId="1" fontId="22" fillId="23" borderId="74" xfId="0" applyNumberFormat="1" applyFont="1" applyFill="1" applyBorder="1" applyAlignment="1" applyProtection="1">
      <alignment horizontal="center" vertical="center" wrapText="1"/>
    </xf>
    <xf numFmtId="1" fontId="22" fillId="23" borderId="10" xfId="0" applyNumberFormat="1" applyFont="1" applyFill="1" applyBorder="1" applyAlignment="1" applyProtection="1">
      <alignment horizontal="center" vertical="center" wrapText="1"/>
    </xf>
    <xf numFmtId="0" fontId="31" fillId="10" borderId="26" xfId="0" applyFont="1" applyFill="1" applyBorder="1" applyAlignment="1" applyProtection="1">
      <alignment horizontal="center" vertical="center" wrapText="1"/>
    </xf>
    <xf numFmtId="169" fontId="22" fillId="9" borderId="26" xfId="0" applyNumberFormat="1" applyFont="1" applyFill="1" applyBorder="1" applyAlignment="1" applyProtection="1">
      <alignment horizontal="center" vertical="center" wrapText="1"/>
    </xf>
    <xf numFmtId="1" fontId="22" fillId="9" borderId="0" xfId="0" applyNumberFormat="1" applyFont="1" applyFill="1" applyBorder="1" applyAlignment="1" applyProtection="1">
      <alignment horizontal="center" vertical="center" wrapText="1"/>
    </xf>
    <xf numFmtId="0" fontId="76" fillId="26" borderId="19" xfId="0" applyFont="1" applyFill="1" applyBorder="1" applyAlignment="1" applyProtection="1">
      <alignment horizontal="center" vertical="center" wrapText="1"/>
    </xf>
    <xf numFmtId="0" fontId="22" fillId="4" borderId="38" xfId="0" applyFont="1" applyFill="1" applyBorder="1" applyAlignment="1" applyProtection="1">
      <alignment horizontal="center" vertical="center" wrapText="1"/>
    </xf>
    <xf numFmtId="45" fontId="22" fillId="23" borderId="38" xfId="0" applyNumberFormat="1" applyFont="1" applyFill="1" applyBorder="1" applyAlignment="1" applyProtection="1">
      <alignment horizontal="center" vertical="center" wrapText="1"/>
    </xf>
    <xf numFmtId="1" fontId="22" fillId="23" borderId="80" xfId="0" applyNumberFormat="1" applyFont="1" applyFill="1" applyBorder="1" applyAlignment="1" applyProtection="1">
      <alignment horizontal="center" vertical="center" wrapText="1"/>
    </xf>
    <xf numFmtId="1" fontId="22" fillId="23" borderId="18" xfId="0" applyNumberFormat="1" applyFont="1" applyFill="1" applyBorder="1" applyAlignment="1" applyProtection="1">
      <alignment horizontal="center" vertical="center" wrapText="1"/>
    </xf>
    <xf numFmtId="1" fontId="22" fillId="23" borderId="81" xfId="0" applyNumberFormat="1" applyFont="1" applyFill="1" applyBorder="1" applyAlignment="1" applyProtection="1">
      <alignment horizontal="center" vertical="center" wrapText="1"/>
    </xf>
    <xf numFmtId="0" fontId="22" fillId="4" borderId="20" xfId="0" applyFont="1" applyFill="1" applyBorder="1" applyAlignment="1" applyProtection="1">
      <alignment horizontal="center" vertical="center" wrapText="1"/>
    </xf>
    <xf numFmtId="1" fontId="22" fillId="23" borderId="79" xfId="0" applyNumberFormat="1" applyFont="1" applyFill="1" applyBorder="1" applyAlignment="1" applyProtection="1">
      <alignment horizontal="center" vertical="center" wrapText="1"/>
    </xf>
    <xf numFmtId="0" fontId="22" fillId="31" borderId="38" xfId="0" applyFont="1" applyFill="1" applyBorder="1" applyAlignment="1" applyProtection="1">
      <alignment horizontal="center" vertical="center" wrapText="1"/>
    </xf>
    <xf numFmtId="1" fontId="22" fillId="9" borderId="79" xfId="0" applyNumberFormat="1" applyFont="1" applyFill="1" applyBorder="1" applyAlignment="1" applyProtection="1">
      <alignment horizontal="center" vertical="center" wrapText="1"/>
    </xf>
    <xf numFmtId="45" fontId="22" fillId="23" borderId="19" xfId="0" applyNumberFormat="1" applyFont="1" applyFill="1" applyBorder="1" applyAlignment="1" applyProtection="1">
      <alignment horizontal="center" vertical="center" wrapText="1"/>
    </xf>
    <xf numFmtId="1" fontId="22" fillId="23" borderId="75" xfId="0" applyNumberFormat="1" applyFont="1" applyFill="1" applyBorder="1" applyAlignment="1" applyProtection="1">
      <alignment horizontal="center" vertical="center" wrapText="1"/>
    </xf>
    <xf numFmtId="0" fontId="30" fillId="11" borderId="38" xfId="0" applyFont="1" applyFill="1" applyBorder="1" applyAlignment="1" applyProtection="1">
      <alignment horizontal="center" vertical="center" wrapText="1"/>
    </xf>
    <xf numFmtId="0" fontId="22" fillId="7" borderId="38" xfId="0" applyFont="1" applyFill="1" applyBorder="1" applyAlignment="1" applyProtection="1">
      <alignment horizontal="center" vertical="center" wrapText="1"/>
    </xf>
    <xf numFmtId="0" fontId="22" fillId="6" borderId="38" xfId="0" applyFont="1" applyFill="1" applyBorder="1" applyAlignment="1" applyProtection="1">
      <alignment horizontal="center" vertical="center" wrapText="1"/>
    </xf>
    <xf numFmtId="1" fontId="22" fillId="23" borderId="38" xfId="0" applyNumberFormat="1" applyFont="1" applyFill="1" applyBorder="1" applyAlignment="1" applyProtection="1">
      <alignment horizontal="center" vertical="center" wrapText="1"/>
    </xf>
    <xf numFmtId="1" fontId="22" fillId="23" borderId="76" xfId="0" applyNumberFormat="1" applyFont="1" applyFill="1" applyBorder="1" applyAlignment="1" applyProtection="1">
      <alignment horizontal="center" vertical="center" wrapText="1"/>
    </xf>
    <xf numFmtId="45" fontId="22" fillId="23" borderId="24" xfId="0" applyNumberFormat="1" applyFont="1" applyFill="1" applyBorder="1" applyAlignment="1" applyProtection="1">
      <alignment horizontal="center" vertical="center" wrapText="1"/>
    </xf>
    <xf numFmtId="0" fontId="31" fillId="10" borderId="77" xfId="0" applyFont="1" applyFill="1" applyBorder="1" applyAlignment="1" applyProtection="1">
      <alignment horizontal="center" vertical="center" wrapText="1"/>
    </xf>
    <xf numFmtId="170" fontId="22" fillId="9" borderId="78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vertical="center"/>
    </xf>
    <xf numFmtId="0" fontId="76" fillId="26" borderId="67" xfId="0" applyFont="1" applyFill="1" applyBorder="1" applyAlignment="1" applyProtection="1">
      <alignment horizontal="center" vertical="center" wrapText="1"/>
    </xf>
    <xf numFmtId="45" fontId="22" fillId="23" borderId="67" xfId="0" applyNumberFormat="1" applyFont="1" applyFill="1" applyBorder="1" applyAlignment="1" applyProtection="1">
      <alignment horizontal="center" vertical="center" wrapText="1"/>
    </xf>
    <xf numFmtId="1" fontId="22" fillId="23" borderId="24" xfId="0" applyNumberFormat="1" applyFont="1" applyFill="1" applyBorder="1" applyAlignment="1" applyProtection="1">
      <alignment horizontal="center" vertical="center" wrapText="1"/>
    </xf>
    <xf numFmtId="0" fontId="30" fillId="11" borderId="26" xfId="0" applyFont="1" applyFill="1" applyBorder="1" applyAlignment="1" applyProtection="1">
      <alignment horizontal="center" vertical="center" wrapText="1"/>
    </xf>
    <xf numFmtId="0" fontId="30" fillId="11" borderId="77" xfId="0" applyFont="1" applyFill="1" applyBorder="1" applyAlignment="1" applyProtection="1">
      <alignment horizontal="center" vertical="center" wrapText="1"/>
    </xf>
    <xf numFmtId="45" fontId="22" fillId="23" borderId="78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1" fontId="0" fillId="0" borderId="0" xfId="0" applyNumberFormat="1" applyFill="1" applyBorder="1" applyProtection="1"/>
    <xf numFmtId="0" fontId="27" fillId="23" borderId="42" xfId="0" applyFont="1" applyFill="1" applyBorder="1" applyProtection="1"/>
    <xf numFmtId="1" fontId="27" fillId="23" borderId="34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169" fontId="3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22" fillId="23" borderId="42" xfId="0" applyFont="1" applyFill="1" applyBorder="1" applyAlignment="1" applyProtection="1">
      <alignment horizontal="center" vertical="center" wrapText="1"/>
    </xf>
    <xf numFmtId="0" fontId="76" fillId="35" borderId="68" xfId="0" applyFont="1" applyFill="1" applyBorder="1" applyAlignment="1" applyProtection="1">
      <alignment horizontal="center" vertical="center" wrapText="1"/>
    </xf>
    <xf numFmtId="0" fontId="22" fillId="23" borderId="20" xfId="0" applyFont="1" applyFill="1" applyBorder="1" applyAlignment="1" applyProtection="1">
      <alignment horizontal="center" vertical="center" wrapText="1"/>
    </xf>
    <xf numFmtId="0" fontId="76" fillId="35" borderId="69" xfId="0" applyFont="1" applyFill="1" applyBorder="1" applyAlignment="1" applyProtection="1">
      <alignment horizontal="center" vertical="center" wrapText="1"/>
    </xf>
    <xf numFmtId="0" fontId="22" fillId="15" borderId="20" xfId="0" applyFont="1" applyFill="1" applyBorder="1" applyAlignment="1" applyProtection="1">
      <alignment horizontal="center" vertical="center" wrapText="1"/>
    </xf>
    <xf numFmtId="0" fontId="76" fillId="35" borderId="65" xfId="0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D2FBE"/>
      <rgbColor rgb="003DEB3D"/>
      <rgbColor rgb="0069FFFF"/>
      <rgbColor rgb="006A2813"/>
      <rgbColor rgb="00C0C0C0"/>
      <rgbColor rgb="00C0C0FF"/>
      <rgbColor rgb="00C6C6C6"/>
      <rgbColor rgb="00CC9CCC"/>
      <rgbColor rgb="00CCFFCC"/>
      <rgbColor rgb="00DFDFDF"/>
      <rgbColor rgb="00E3E3E3"/>
      <rgbColor rgb="00FF0000"/>
      <rgbColor rgb="00FFCC99"/>
      <rgbColor rgb="00FFFF00"/>
      <rgbColor rgb="00FFFF80"/>
      <rgbColor rgb="00FFFF99"/>
      <rgbColor rgb="00FFFFFF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33FF"/>
      <color rgb="FF9900CC"/>
      <color rgb="FF660066"/>
      <color rgb="FFCC99FF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1505880</xdr:colOff>
      <xdr:row>35</xdr:row>
      <xdr:rowOff>33580</xdr:rowOff>
    </xdr:from>
    <xdr:to>
      <xdr:col>10</xdr:col>
      <xdr:colOff>1703802</xdr:colOff>
      <xdr:row>35</xdr:row>
      <xdr:rowOff>230572</xdr:rowOff>
    </xdr:to>
    <xdr:grpSp>
      <xdr:nvGrpSpPr>
        <xdr:cNvPr id="3" name="Groupe 2"/>
        <xdr:cNvGrpSpPr/>
      </xdr:nvGrpSpPr>
      <xdr:grpSpPr>
        <a:xfrm>
          <a:off x="8621055" y="6405805"/>
          <a:ext cx="197922" cy="196992"/>
          <a:chOff x="9061739" y="6191250"/>
          <a:chExt cx="197922" cy="197922"/>
        </a:xfrm>
      </xdr:grpSpPr>
      <xdr:sp macro="" textlink="">
        <xdr:nvSpPr>
          <xdr:cNvPr id="4" name="Flèche droite 3"/>
          <xdr:cNvSpPr/>
        </xdr:nvSpPr>
        <xdr:spPr bwMode="auto">
          <a:xfrm>
            <a:off x="9109301" y="6238271"/>
            <a:ext cx="116032" cy="111928"/>
          </a:xfrm>
          <a:prstGeom prst="rightArrow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  <xdr:sp macro="" textlink="">
        <xdr:nvSpPr>
          <xdr:cNvPr id="5" name="Ellipse 4"/>
          <xdr:cNvSpPr/>
        </xdr:nvSpPr>
        <xdr:spPr bwMode="auto">
          <a:xfrm>
            <a:off x="9061739" y="6191250"/>
            <a:ext cx="197922" cy="197922"/>
          </a:xfrm>
          <a:prstGeom prst="ellipse">
            <a:avLst/>
          </a:prstGeom>
          <a:noFill/>
          <a:ln w="1905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</xdr:grpSp>
    <xdr:clientData/>
  </xdr:twoCellAnchor>
  <xdr:twoCellAnchor>
    <xdr:from>
      <xdr:col>10</xdr:col>
      <xdr:colOff>1510208</xdr:colOff>
      <xdr:row>33</xdr:row>
      <xdr:rowOff>37867</xdr:rowOff>
    </xdr:from>
    <xdr:to>
      <xdr:col>10</xdr:col>
      <xdr:colOff>1708130</xdr:colOff>
      <xdr:row>33</xdr:row>
      <xdr:rowOff>235789</xdr:rowOff>
    </xdr:to>
    <xdr:grpSp>
      <xdr:nvGrpSpPr>
        <xdr:cNvPr id="6" name="Groupe 5"/>
        <xdr:cNvGrpSpPr/>
      </xdr:nvGrpSpPr>
      <xdr:grpSpPr>
        <a:xfrm>
          <a:off x="8625383" y="6076717"/>
          <a:ext cx="197922" cy="197922"/>
          <a:chOff x="9066068" y="5857876"/>
          <a:chExt cx="197922" cy="197922"/>
        </a:xfrm>
      </xdr:grpSpPr>
      <xdr:sp macro="" textlink="">
        <xdr:nvSpPr>
          <xdr:cNvPr id="7" name="Flèche droite 6"/>
          <xdr:cNvSpPr/>
        </xdr:nvSpPr>
        <xdr:spPr bwMode="auto">
          <a:xfrm>
            <a:off x="9113630" y="5904897"/>
            <a:ext cx="116032" cy="111928"/>
          </a:xfrm>
          <a:prstGeom prst="rightArrow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  <xdr:sp macro="" textlink="">
        <xdr:nvSpPr>
          <xdr:cNvPr id="8" name="Ellipse 7"/>
          <xdr:cNvSpPr/>
        </xdr:nvSpPr>
        <xdr:spPr bwMode="auto">
          <a:xfrm>
            <a:off x="9066068" y="5857876"/>
            <a:ext cx="197922" cy="197922"/>
          </a:xfrm>
          <a:prstGeom prst="ellipse">
            <a:avLst/>
          </a:prstGeom>
          <a:noFill/>
          <a:ln w="1905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</xdr:grpSp>
    <xdr:clientData/>
  </xdr:twoCellAnchor>
  <xdr:twoCellAnchor>
    <xdr:from>
      <xdr:col>10</xdr:col>
      <xdr:colOff>1500304</xdr:colOff>
      <xdr:row>37</xdr:row>
      <xdr:rowOff>37466</xdr:rowOff>
    </xdr:from>
    <xdr:to>
      <xdr:col>10</xdr:col>
      <xdr:colOff>1698226</xdr:colOff>
      <xdr:row>37</xdr:row>
      <xdr:rowOff>233994</xdr:rowOff>
    </xdr:to>
    <xdr:grpSp>
      <xdr:nvGrpSpPr>
        <xdr:cNvPr id="9" name="Groupe 8"/>
        <xdr:cNvGrpSpPr/>
      </xdr:nvGrpSpPr>
      <xdr:grpSpPr>
        <a:xfrm>
          <a:off x="8615479" y="6733541"/>
          <a:ext cx="197922" cy="196528"/>
          <a:chOff x="9061739" y="6191250"/>
          <a:chExt cx="197922" cy="197922"/>
        </a:xfrm>
      </xdr:grpSpPr>
      <xdr:sp macro="" textlink="">
        <xdr:nvSpPr>
          <xdr:cNvPr id="10" name="Flèche droite 9"/>
          <xdr:cNvSpPr/>
        </xdr:nvSpPr>
        <xdr:spPr bwMode="auto">
          <a:xfrm>
            <a:off x="9109301" y="6238271"/>
            <a:ext cx="116032" cy="111928"/>
          </a:xfrm>
          <a:prstGeom prst="rightArrow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  <xdr:sp macro="" textlink="">
        <xdr:nvSpPr>
          <xdr:cNvPr id="11" name="Ellipse 10"/>
          <xdr:cNvSpPr/>
        </xdr:nvSpPr>
        <xdr:spPr bwMode="auto">
          <a:xfrm>
            <a:off x="9061739" y="6191250"/>
            <a:ext cx="197922" cy="197922"/>
          </a:xfrm>
          <a:prstGeom prst="ellipse">
            <a:avLst/>
          </a:prstGeom>
          <a:noFill/>
          <a:ln w="19050" cap="flat" cmpd="sng" algn="ctr">
            <a:solidFill>
              <a:schemeClr val="bg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fr-BE" sz="1100"/>
          </a:p>
        </xdr:txBody>
      </xdr:sp>
    </xdr:grpSp>
    <xdr:clientData/>
  </xdr:twoCellAnchor>
  <xdr:twoCellAnchor>
    <xdr:from>
      <xdr:col>9</xdr:col>
      <xdr:colOff>596348</xdr:colOff>
      <xdr:row>50</xdr:row>
      <xdr:rowOff>115956</xdr:rowOff>
    </xdr:from>
    <xdr:to>
      <xdr:col>10</xdr:col>
      <xdr:colOff>1350066</xdr:colOff>
      <xdr:row>59</xdr:row>
      <xdr:rowOff>66261</xdr:rowOff>
    </xdr:to>
    <xdr:sp macro="" textlink="">
      <xdr:nvSpPr>
        <xdr:cNvPr id="2" name="Ellipse 1"/>
        <xdr:cNvSpPr/>
      </xdr:nvSpPr>
      <xdr:spPr bwMode="auto">
        <a:xfrm>
          <a:off x="7454348" y="9119152"/>
          <a:ext cx="1515718" cy="1515718"/>
        </a:xfrm>
        <a:prstGeom prst="ellipse">
          <a:avLst/>
        </a:prstGeom>
        <a:solidFill>
          <a:schemeClr val="accent5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fr-BE" sz="1000">
              <a:solidFill>
                <a:schemeClr val="bg1"/>
              </a:solidFill>
              <a:latin typeface="HelveticaNeueLT Std" pitchFamily="34" charset="0"/>
            </a:rPr>
            <a:t>Luister altijd goed naar je lichaam.</a:t>
          </a:r>
        </a:p>
        <a:p>
          <a:pPr algn="ctr"/>
          <a:r>
            <a:rPr lang="fr-BE" sz="1000">
              <a:solidFill>
                <a:schemeClr val="bg1"/>
              </a:solidFill>
              <a:latin typeface="HelveticaNeueLT Std" pitchFamily="34" charset="0"/>
            </a:rPr>
            <a:t>Als je je moe voelt, maak de training dan lichter of sla ze gewoon over. </a:t>
          </a:r>
        </a:p>
      </xdr:txBody>
    </xdr:sp>
    <xdr:clientData/>
  </xdr:twoCellAnchor>
  <xdr:twoCellAnchor editAs="oneCell">
    <xdr:from>
      <xdr:col>8</xdr:col>
      <xdr:colOff>302729</xdr:colOff>
      <xdr:row>1</xdr:row>
      <xdr:rowOff>73301</xdr:rowOff>
    </xdr:from>
    <xdr:to>
      <xdr:col>10</xdr:col>
      <xdr:colOff>957054</xdr:colOff>
      <xdr:row>1</xdr:row>
      <xdr:rowOff>409866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904" y="235226"/>
          <a:ext cx="2178325" cy="336565"/>
        </a:xfrm>
        <a:prstGeom prst="rect">
          <a:avLst/>
        </a:prstGeom>
      </xdr:spPr>
    </xdr:pic>
    <xdr:clientData/>
  </xdr:twoCellAnchor>
  <xdr:twoCellAnchor>
    <xdr:from>
      <xdr:col>10</xdr:col>
      <xdr:colOff>882202</xdr:colOff>
      <xdr:row>2</xdr:row>
      <xdr:rowOff>2554</xdr:rowOff>
    </xdr:from>
    <xdr:to>
      <xdr:col>11</xdr:col>
      <xdr:colOff>4872</xdr:colOff>
      <xdr:row>3</xdr:row>
      <xdr:rowOff>59704</xdr:rowOff>
    </xdr:to>
    <xdr:sp macro="" textlink="">
      <xdr:nvSpPr>
        <xdr:cNvPr id="12" name="Rectangle 11"/>
        <xdr:cNvSpPr/>
      </xdr:nvSpPr>
      <xdr:spPr bwMode="auto">
        <a:xfrm>
          <a:off x="8502202" y="622966"/>
          <a:ext cx="914400" cy="36092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Onthaal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1</xdr:row>
      <xdr:rowOff>104775</xdr:rowOff>
    </xdr:from>
    <xdr:to>
      <xdr:col>4</xdr:col>
      <xdr:colOff>2845075</xdr:colOff>
      <xdr:row>1</xdr:row>
      <xdr:rowOff>441340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4575" y="266700"/>
          <a:ext cx="2178325" cy="336565"/>
        </a:xfrm>
        <a:prstGeom prst="rect">
          <a:avLst/>
        </a:prstGeom>
      </xdr:spPr>
    </xdr:pic>
    <xdr:clientData/>
  </xdr:twoCellAnchor>
  <xdr:twoCellAnchor>
    <xdr:from>
      <xdr:col>4</xdr:col>
      <xdr:colOff>3069956</xdr:colOff>
      <xdr:row>1</xdr:row>
      <xdr:rowOff>458491</xdr:rowOff>
    </xdr:from>
    <xdr:to>
      <xdr:col>6</xdr:col>
      <xdr:colOff>1876</xdr:colOff>
      <xdr:row>4</xdr:row>
      <xdr:rowOff>38100</xdr:rowOff>
    </xdr:to>
    <xdr:sp macro="" textlink="">
      <xdr:nvSpPr>
        <xdr:cNvPr id="5" name="Rectangle 4"/>
        <xdr:cNvSpPr/>
      </xdr:nvSpPr>
      <xdr:spPr bwMode="auto">
        <a:xfrm>
          <a:off x="9992532" y="619932"/>
          <a:ext cx="913047" cy="360982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Parameters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886241</xdr:colOff>
      <xdr:row>2</xdr:row>
      <xdr:rowOff>0</xdr:rowOff>
    </xdr:from>
    <xdr:to>
      <xdr:col>17</xdr:col>
      <xdr:colOff>1532</xdr:colOff>
      <xdr:row>2</xdr:row>
      <xdr:rowOff>352815</xdr:rowOff>
    </xdr:to>
    <xdr:sp macro="" textlink="">
      <xdr:nvSpPr>
        <xdr:cNvPr id="6" name="Rectangle 5"/>
        <xdr:cNvSpPr/>
      </xdr:nvSpPr>
      <xdr:spPr bwMode="auto">
        <a:xfrm>
          <a:off x="9301371" y="704022"/>
          <a:ext cx="1078270" cy="35281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20km 5 train.</a:t>
          </a:r>
        </a:p>
      </xdr:txBody>
    </xdr:sp>
    <xdr:clientData/>
  </xdr:twoCellAnchor>
  <xdr:twoCellAnchor editAs="oneCell">
    <xdr:from>
      <xdr:col>11</xdr:col>
      <xdr:colOff>447675</xdr:colOff>
      <xdr:row>1</xdr:row>
      <xdr:rowOff>76200</xdr:rowOff>
    </xdr:from>
    <xdr:to>
      <xdr:col>15</xdr:col>
      <xdr:colOff>216175</xdr:colOff>
      <xdr:row>1</xdr:row>
      <xdr:rowOff>412765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23850"/>
          <a:ext cx="2178325" cy="336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819418</xdr:colOff>
      <xdr:row>2</xdr:row>
      <xdr:rowOff>2684</xdr:rowOff>
    </xdr:from>
    <xdr:to>
      <xdr:col>17</xdr:col>
      <xdr:colOff>1384</xdr:colOff>
      <xdr:row>2</xdr:row>
      <xdr:rowOff>355499</xdr:rowOff>
    </xdr:to>
    <xdr:sp macro="" textlink="">
      <xdr:nvSpPr>
        <xdr:cNvPr id="6" name="Rectangle 5"/>
        <xdr:cNvSpPr/>
      </xdr:nvSpPr>
      <xdr:spPr bwMode="auto">
        <a:xfrm>
          <a:off x="9228249" y="716388"/>
          <a:ext cx="1078917" cy="35281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20km 4 train.</a:t>
          </a:r>
        </a:p>
      </xdr:txBody>
    </xdr:sp>
    <xdr:clientData/>
  </xdr:twoCellAnchor>
  <xdr:twoCellAnchor editAs="oneCell">
    <xdr:from>
      <xdr:col>11</xdr:col>
      <xdr:colOff>114300</xdr:colOff>
      <xdr:row>1</xdr:row>
      <xdr:rowOff>95250</xdr:rowOff>
    </xdr:from>
    <xdr:to>
      <xdr:col>14</xdr:col>
      <xdr:colOff>1044850</xdr:colOff>
      <xdr:row>1</xdr:row>
      <xdr:rowOff>431815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352425"/>
          <a:ext cx="2178325" cy="3365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1</xdr:row>
      <xdr:rowOff>85725</xdr:rowOff>
    </xdr:from>
    <xdr:to>
      <xdr:col>14</xdr:col>
      <xdr:colOff>987700</xdr:colOff>
      <xdr:row>1</xdr:row>
      <xdr:rowOff>422290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42900"/>
          <a:ext cx="2178325" cy="336565"/>
        </a:xfrm>
        <a:prstGeom prst="rect">
          <a:avLst/>
        </a:prstGeom>
      </xdr:spPr>
    </xdr:pic>
    <xdr:clientData/>
  </xdr:twoCellAnchor>
  <xdr:twoCellAnchor>
    <xdr:from>
      <xdr:col>14</xdr:col>
      <xdr:colOff>835318</xdr:colOff>
      <xdr:row>2</xdr:row>
      <xdr:rowOff>1219</xdr:rowOff>
    </xdr:from>
    <xdr:to>
      <xdr:col>17</xdr:col>
      <xdr:colOff>7759</xdr:colOff>
      <xdr:row>2</xdr:row>
      <xdr:rowOff>351793</xdr:rowOff>
    </xdr:to>
    <xdr:sp macro="" textlink="">
      <xdr:nvSpPr>
        <xdr:cNvPr id="8" name="Rectangle 7"/>
        <xdr:cNvSpPr/>
      </xdr:nvSpPr>
      <xdr:spPr bwMode="auto">
        <a:xfrm>
          <a:off x="9143576" y="717130"/>
          <a:ext cx="1077441" cy="35057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20km 3 train.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5</xdr:col>
      <xdr:colOff>733425</xdr:colOff>
      <xdr:row>4</xdr:row>
      <xdr:rowOff>0</xdr:rowOff>
    </xdr:to>
    <xdr:pic>
      <xdr:nvPicPr>
        <xdr:cNvPr id="13324" name="Picture 7" descr="sign_zatopek_CMYK_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5972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1</xdr:row>
      <xdr:rowOff>47625</xdr:rowOff>
    </xdr:from>
    <xdr:to>
      <xdr:col>10</xdr:col>
      <xdr:colOff>82825</xdr:colOff>
      <xdr:row>1</xdr:row>
      <xdr:rowOff>441340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09550"/>
          <a:ext cx="2178325" cy="393715"/>
        </a:xfrm>
        <a:prstGeom prst="rect">
          <a:avLst/>
        </a:prstGeom>
      </xdr:spPr>
    </xdr:pic>
    <xdr:clientData/>
  </xdr:twoCellAnchor>
  <xdr:twoCellAnchor>
    <xdr:from>
      <xdr:col>9</xdr:col>
      <xdr:colOff>354685</xdr:colOff>
      <xdr:row>1</xdr:row>
      <xdr:rowOff>451227</xdr:rowOff>
    </xdr:from>
    <xdr:to>
      <xdr:col>11</xdr:col>
      <xdr:colOff>3376</xdr:colOff>
      <xdr:row>3</xdr:row>
      <xdr:rowOff>80142</xdr:rowOff>
    </xdr:to>
    <xdr:sp macro="" textlink="">
      <xdr:nvSpPr>
        <xdr:cNvPr id="4" name="Rectangle 3"/>
        <xdr:cNvSpPr/>
      </xdr:nvSpPr>
      <xdr:spPr bwMode="auto">
        <a:xfrm>
          <a:off x="7341838" y="612668"/>
          <a:ext cx="1075826" cy="35539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BE" sz="1800">
              <a:solidFill>
                <a:schemeClr val="accent5">
                  <a:lumMod val="50000"/>
                </a:schemeClr>
              </a:solidFill>
              <a:latin typeface="Akzidenz-Grotesk BQ Condensed" pitchFamily="50" charset="0"/>
            </a:rPr>
            <a:t>MAS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B/AppData/Local/Microsoft/Windows/Temporary%20Internet%20Files/Content.Outlook/5WGYH8RV/DOCUME~1/Roger/LOCALS~1/Temp/2preparation%20entrain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Etalonnage"/>
      <sheetName val="MARATHON6"/>
      <sheetName val="MARATHON5"/>
      <sheetName val="MARATHON4"/>
      <sheetName val="VMA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D2FBE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1D2FBE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image" Target="../media/image1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image" Target="../media/image1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image" Target="../media/image1.jpeg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5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B1:O127"/>
  <sheetViews>
    <sheetView showGridLines="0" tabSelected="1" zoomScaleNormal="100" workbookViewId="0">
      <selection activeCell="N17" sqref="N17"/>
    </sheetView>
  </sheetViews>
  <sheetFormatPr baseColWidth="10" defaultRowHeight="12.75" x14ac:dyDescent="0.2"/>
  <cols>
    <col min="1" max="1" width="2.42578125" customWidth="1"/>
    <col min="3" max="3" width="12.85546875" customWidth="1"/>
    <col min="11" max="11" width="26.85546875" customWidth="1"/>
  </cols>
  <sheetData>
    <row r="1" spans="2:11" x14ac:dyDescent="0.2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11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2:11" ht="24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68"/>
    </row>
    <row r="4" spans="2:11" x14ac:dyDescent="0.2">
      <c r="B4" s="180"/>
      <c r="C4" s="233"/>
      <c r="D4" s="233"/>
      <c r="E4" s="233"/>
      <c r="F4" s="233"/>
      <c r="G4" s="233"/>
      <c r="H4" s="233"/>
      <c r="I4" s="233"/>
      <c r="J4" s="233"/>
      <c r="K4" s="233"/>
    </row>
    <row r="5" spans="2:11" ht="19.5" customHeight="1" x14ac:dyDescent="0.2">
      <c r="B5" s="186" t="s">
        <v>234</v>
      </c>
      <c r="C5" s="186"/>
      <c r="D5" s="186"/>
      <c r="E5" s="186"/>
      <c r="F5" s="186"/>
      <c r="G5" s="186"/>
      <c r="H5" s="186"/>
      <c r="I5" s="186"/>
      <c r="J5" s="186"/>
      <c r="K5" s="186"/>
    </row>
    <row r="6" spans="2:11" ht="8.25" hidden="1" customHeight="1" thickBot="1" x14ac:dyDescent="0.25">
      <c r="B6" s="182" t="s">
        <v>0</v>
      </c>
      <c r="C6" s="183"/>
      <c r="D6" s="183"/>
      <c r="E6" s="183"/>
      <c r="F6" s="184"/>
      <c r="G6" s="184"/>
      <c r="H6" s="184"/>
      <c r="I6" s="184"/>
      <c r="J6" s="184"/>
      <c r="K6" s="185"/>
    </row>
    <row r="7" spans="2:11" ht="8.25" customHeight="1" x14ac:dyDescent="0.2">
      <c r="B7" s="58"/>
      <c r="C7" s="58"/>
      <c r="D7" s="58"/>
      <c r="E7" s="58"/>
      <c r="F7" s="59"/>
      <c r="G7" s="59"/>
      <c r="H7" s="59"/>
      <c r="I7" s="59"/>
      <c r="J7" s="59"/>
      <c r="K7" s="59"/>
    </row>
    <row r="8" spans="2:11" ht="18" customHeight="1" x14ac:dyDescent="0.2">
      <c r="B8" s="234" t="s">
        <v>55</v>
      </c>
      <c r="C8" s="234"/>
      <c r="D8" s="234"/>
      <c r="E8" s="234"/>
      <c r="F8" s="234"/>
      <c r="G8" s="234"/>
      <c r="H8" s="234"/>
      <c r="I8" s="234"/>
      <c r="J8" s="234"/>
      <c r="K8" s="234"/>
    </row>
    <row r="9" spans="2:11" ht="12.75" customHeight="1" x14ac:dyDescent="0.2">
      <c r="B9" s="234" t="s">
        <v>57</v>
      </c>
      <c r="C9" s="234"/>
      <c r="D9" s="234"/>
      <c r="E9" s="234"/>
      <c r="F9" s="234"/>
      <c r="G9" s="234"/>
      <c r="H9" s="234"/>
      <c r="I9" s="234"/>
      <c r="J9" s="234"/>
      <c r="K9" s="234"/>
    </row>
    <row r="10" spans="2:11" ht="12.75" customHeight="1" x14ac:dyDescent="0.2">
      <c r="B10" s="234" t="s">
        <v>235</v>
      </c>
      <c r="C10" s="234"/>
      <c r="D10" s="234"/>
      <c r="E10" s="234"/>
      <c r="F10" s="234"/>
      <c r="G10" s="234"/>
      <c r="H10" s="234"/>
      <c r="I10" s="234"/>
      <c r="J10" s="234"/>
      <c r="K10" s="234"/>
    </row>
    <row r="11" spans="2:11" ht="12.75" customHeight="1" x14ac:dyDescent="0.2">
      <c r="B11" s="235" t="s">
        <v>238</v>
      </c>
      <c r="C11" s="235"/>
      <c r="D11" s="235"/>
      <c r="E11" s="235"/>
      <c r="F11" s="235"/>
      <c r="G11" s="235"/>
      <c r="H11" s="235"/>
      <c r="I11" s="235"/>
      <c r="J11" s="235"/>
      <c r="K11" s="235"/>
    </row>
    <row r="12" spans="2:11" ht="14.25" x14ac:dyDescent="0.2">
      <c r="B12" s="235" t="s">
        <v>239</v>
      </c>
      <c r="C12" s="235"/>
      <c r="D12" s="235"/>
      <c r="E12" s="235"/>
      <c r="F12" s="235"/>
      <c r="G12" s="235"/>
      <c r="H12" s="235"/>
      <c r="I12" s="235"/>
      <c r="J12" s="235"/>
      <c r="K12" s="235"/>
    </row>
    <row r="13" spans="2:11" ht="15" customHeight="1" x14ac:dyDescent="0.2">
      <c r="B13" s="236" t="s">
        <v>248</v>
      </c>
      <c r="C13" s="234"/>
      <c r="D13" s="234"/>
      <c r="E13" s="234"/>
      <c r="F13" s="234"/>
      <c r="G13" s="234"/>
      <c r="H13" s="234"/>
      <c r="I13" s="234"/>
      <c r="J13" s="234"/>
      <c r="K13" s="234"/>
    </row>
    <row r="14" spans="2:11" ht="15" customHeight="1" x14ac:dyDescent="0.2">
      <c r="B14" s="236" t="s">
        <v>56</v>
      </c>
      <c r="C14" s="237"/>
      <c r="D14" s="237"/>
      <c r="E14" s="237"/>
      <c r="F14" s="237"/>
      <c r="G14" s="237"/>
      <c r="H14" s="237"/>
      <c r="I14" s="237"/>
      <c r="J14" s="237"/>
      <c r="K14" s="237"/>
    </row>
    <row r="15" spans="2:11" ht="12" customHeight="1" x14ac:dyDescent="0.2">
      <c r="B15" s="235" t="s">
        <v>237</v>
      </c>
      <c r="C15" s="235"/>
      <c r="D15" s="235"/>
      <c r="E15" s="235"/>
      <c r="F15" s="235"/>
      <c r="G15" s="235"/>
      <c r="H15" s="235"/>
      <c r="I15" s="235"/>
      <c r="J15" s="235"/>
      <c r="K15" s="235"/>
    </row>
    <row r="16" spans="2:11" ht="14.25" x14ac:dyDescent="0.2">
      <c r="B16" s="234" t="s">
        <v>240</v>
      </c>
      <c r="C16" s="234"/>
      <c r="D16" s="234"/>
      <c r="E16" s="234"/>
      <c r="F16" s="234"/>
      <c r="G16" s="234"/>
      <c r="H16" s="234"/>
      <c r="I16" s="234"/>
      <c r="J16" s="234"/>
      <c r="K16" s="234"/>
    </row>
    <row r="17" spans="2:11" ht="14.25" x14ac:dyDescent="0.2">
      <c r="B17" s="236" t="s">
        <v>241</v>
      </c>
      <c r="C17" s="234"/>
      <c r="D17" s="234"/>
      <c r="E17" s="234"/>
      <c r="F17" s="234"/>
      <c r="G17" s="234"/>
      <c r="H17" s="234"/>
      <c r="I17" s="234"/>
      <c r="J17" s="234"/>
      <c r="K17" s="234"/>
    </row>
    <row r="18" spans="2:11" ht="14.25" x14ac:dyDescent="0.2">
      <c r="B18" s="236" t="s">
        <v>247</v>
      </c>
      <c r="C18" s="234"/>
      <c r="D18" s="234"/>
      <c r="E18" s="234"/>
      <c r="F18" s="234"/>
      <c r="G18" s="234"/>
      <c r="H18" s="234"/>
      <c r="I18" s="234"/>
      <c r="J18" s="234"/>
      <c r="K18" s="234"/>
    </row>
    <row r="19" spans="2:11" ht="14.25" x14ac:dyDescent="0.2">
      <c r="B19" s="235" t="s">
        <v>236</v>
      </c>
      <c r="C19" s="235"/>
      <c r="D19" s="235"/>
      <c r="E19" s="235"/>
      <c r="F19" s="235"/>
      <c r="G19" s="235"/>
      <c r="H19" s="235"/>
      <c r="I19" s="235"/>
      <c r="J19" s="235"/>
      <c r="K19" s="235"/>
    </row>
    <row r="20" spans="2:11" ht="14.25" x14ac:dyDescent="0.2">
      <c r="B20" s="234" t="s">
        <v>58</v>
      </c>
      <c r="C20" s="234"/>
      <c r="D20" s="234"/>
      <c r="E20" s="234"/>
      <c r="F20" s="234"/>
      <c r="G20" s="234"/>
      <c r="H20" s="234"/>
      <c r="I20" s="234"/>
      <c r="J20" s="234"/>
      <c r="K20" s="234"/>
    </row>
    <row r="21" spans="2:11" ht="14.25" x14ac:dyDescent="0.2">
      <c r="B21" s="234" t="s">
        <v>242</v>
      </c>
      <c r="C21" s="234"/>
      <c r="D21" s="234"/>
      <c r="E21" s="234"/>
      <c r="F21" s="234"/>
      <c r="G21" s="234"/>
      <c r="H21" s="234"/>
      <c r="I21" s="234"/>
      <c r="J21" s="234"/>
      <c r="K21" s="234"/>
    </row>
    <row r="22" spans="2:11" ht="14.25" x14ac:dyDescent="0.2">
      <c r="B22" s="235" t="s">
        <v>59</v>
      </c>
      <c r="C22" s="235"/>
      <c r="D22" s="235"/>
      <c r="E22" s="235"/>
      <c r="F22" s="235"/>
      <c r="G22" s="235"/>
      <c r="H22" s="235"/>
      <c r="I22" s="235"/>
      <c r="J22" s="235"/>
      <c r="K22" s="235"/>
    </row>
    <row r="23" spans="2:11" ht="14.25" x14ac:dyDescent="0.2">
      <c r="B23" s="235" t="s">
        <v>209</v>
      </c>
      <c r="C23" s="235"/>
      <c r="D23" s="235"/>
      <c r="E23" s="235"/>
      <c r="F23" s="235"/>
      <c r="G23" s="235"/>
      <c r="H23" s="235"/>
      <c r="I23" s="235"/>
      <c r="J23" s="235"/>
      <c r="K23" s="235"/>
    </row>
    <row r="24" spans="2:11" ht="14.25" x14ac:dyDescent="0.2">
      <c r="B24" s="238" t="s">
        <v>243</v>
      </c>
      <c r="C24" s="235"/>
      <c r="D24" s="235"/>
      <c r="E24" s="235"/>
      <c r="F24" s="235"/>
      <c r="G24" s="235"/>
      <c r="H24" s="235"/>
      <c r="I24" s="235"/>
      <c r="J24" s="235"/>
      <c r="K24" s="235"/>
    </row>
    <row r="25" spans="2:11" ht="14.25" x14ac:dyDescent="0.2">
      <c r="B25" s="234" t="s">
        <v>60</v>
      </c>
      <c r="C25" s="234"/>
      <c r="D25" s="234"/>
      <c r="E25" s="234"/>
      <c r="F25" s="234"/>
      <c r="G25" s="234"/>
      <c r="H25" s="234"/>
      <c r="I25" s="234"/>
      <c r="J25" s="234"/>
      <c r="K25" s="234"/>
    </row>
    <row r="26" spans="2:11" ht="14.25" x14ac:dyDescent="0.2">
      <c r="B26" s="236" t="s">
        <v>244</v>
      </c>
      <c r="C26" s="234"/>
      <c r="D26" s="234"/>
      <c r="E26" s="234"/>
      <c r="F26" s="234"/>
      <c r="G26" s="234"/>
      <c r="H26" s="234"/>
      <c r="I26" s="234"/>
      <c r="J26" s="234"/>
      <c r="K26" s="234"/>
    </row>
    <row r="27" spans="2:11" s="16" customFormat="1" ht="14.25" x14ac:dyDescent="0.2">
      <c r="B27" s="234" t="s">
        <v>217</v>
      </c>
      <c r="C27" s="234"/>
      <c r="D27" s="234"/>
      <c r="E27" s="234"/>
      <c r="F27" s="234"/>
      <c r="G27" s="234"/>
      <c r="H27" s="234"/>
      <c r="I27" s="234"/>
      <c r="J27" s="234"/>
      <c r="K27" s="234"/>
    </row>
    <row r="28" spans="2:11" s="16" customFormat="1" ht="14.25" x14ac:dyDescent="0.2">
      <c r="B28" s="235" t="s">
        <v>245</v>
      </c>
      <c r="C28" s="235"/>
      <c r="D28" s="235"/>
      <c r="E28" s="235"/>
      <c r="F28" s="235"/>
      <c r="G28" s="235"/>
      <c r="H28" s="235"/>
      <c r="I28" s="235"/>
      <c r="J28" s="235"/>
      <c r="K28" s="235"/>
    </row>
    <row r="29" spans="2:11" s="16" customFormat="1" ht="14.25" x14ac:dyDescent="0.2">
      <c r="B29" s="235" t="s">
        <v>246</v>
      </c>
      <c r="C29" s="235"/>
      <c r="D29" s="235"/>
      <c r="E29" s="235"/>
      <c r="F29" s="235"/>
      <c r="G29" s="235"/>
      <c r="H29" s="235"/>
      <c r="I29" s="235"/>
      <c r="J29" s="235"/>
      <c r="K29" s="235"/>
    </row>
    <row r="30" spans="2:11" s="16" customFormat="1" ht="9.75" customHeight="1" x14ac:dyDescent="0.2">
      <c r="B30" s="235"/>
      <c r="C30" s="235"/>
      <c r="D30" s="235"/>
      <c r="E30" s="235"/>
      <c r="F30" s="235"/>
      <c r="G30" s="235"/>
      <c r="H30" s="235"/>
      <c r="I30" s="235"/>
      <c r="J30" s="235"/>
      <c r="K30" s="235"/>
    </row>
    <row r="31" spans="2:11" s="16" customFormat="1" x14ac:dyDescent="0.2">
      <c r="B31" s="239"/>
      <c r="C31" s="239"/>
      <c r="D31" s="239"/>
      <c r="E31" s="239"/>
      <c r="F31" s="240"/>
      <c r="G31" s="240"/>
      <c r="H31" s="240"/>
      <c r="I31" s="240"/>
      <c r="J31" s="240"/>
      <c r="K31" s="240"/>
    </row>
    <row r="32" spans="2:11" s="16" customFormat="1" ht="18" x14ac:dyDescent="0.25">
      <c r="B32" s="172" t="s">
        <v>61</v>
      </c>
      <c r="C32" s="173"/>
      <c r="D32" s="173"/>
      <c r="E32" s="173"/>
      <c r="F32" s="173"/>
      <c r="G32" s="173"/>
      <c r="H32" s="173"/>
      <c r="I32" s="173"/>
      <c r="J32" s="173"/>
      <c r="K32" s="173"/>
    </row>
    <row r="33" spans="2:11" s="16" customFormat="1" ht="9.75" customHeight="1" x14ac:dyDescent="0.25">
      <c r="B33" s="60"/>
      <c r="C33" s="61"/>
      <c r="D33" s="61"/>
      <c r="E33" s="61"/>
      <c r="F33" s="61"/>
      <c r="G33" s="61"/>
      <c r="H33" s="61"/>
      <c r="I33" s="61"/>
      <c r="J33" s="61"/>
      <c r="K33" s="61"/>
    </row>
    <row r="34" spans="2:11" s="16" customFormat="1" ht="21" customHeight="1" x14ac:dyDescent="0.2">
      <c r="B34" s="174" t="s">
        <v>231</v>
      </c>
      <c r="C34" s="174"/>
      <c r="D34" s="174"/>
      <c r="E34" s="174"/>
      <c r="F34" s="175"/>
      <c r="G34" s="175"/>
      <c r="H34" s="175"/>
      <c r="I34" s="175"/>
      <c r="J34" s="175"/>
      <c r="K34" s="175"/>
    </row>
    <row r="35" spans="2:11" s="16" customFormat="1" ht="5.25" customHeight="1" x14ac:dyDescent="0.2">
      <c r="B35" s="62"/>
      <c r="C35" s="62"/>
      <c r="D35" s="62"/>
      <c r="E35" s="62"/>
      <c r="F35" s="63"/>
      <c r="G35" s="63"/>
      <c r="H35" s="63"/>
      <c r="I35" s="63"/>
      <c r="J35" s="63"/>
      <c r="K35" s="63"/>
    </row>
    <row r="36" spans="2:11" s="16" customFormat="1" ht="20.25" customHeight="1" x14ac:dyDescent="0.2">
      <c r="B36" s="174" t="s">
        <v>230</v>
      </c>
      <c r="C36" s="174"/>
      <c r="D36" s="174"/>
      <c r="E36" s="174"/>
      <c r="F36" s="175"/>
      <c r="G36" s="175"/>
      <c r="H36" s="175"/>
      <c r="I36" s="175"/>
      <c r="J36" s="175"/>
      <c r="K36" s="175"/>
    </row>
    <row r="37" spans="2:11" s="16" customFormat="1" ht="5.25" customHeight="1" x14ac:dyDescent="0.2">
      <c r="B37" s="62"/>
      <c r="C37" s="62"/>
      <c r="D37" s="62"/>
      <c r="E37" s="62"/>
      <c r="F37" s="63"/>
      <c r="G37" s="63"/>
      <c r="H37" s="63"/>
      <c r="I37" s="63"/>
      <c r="J37" s="63"/>
      <c r="K37" s="63"/>
    </row>
    <row r="38" spans="2:11" s="16" customFormat="1" ht="21" customHeight="1" x14ac:dyDescent="0.2">
      <c r="B38" s="174" t="s">
        <v>232</v>
      </c>
      <c r="C38" s="174"/>
      <c r="D38" s="174"/>
      <c r="E38" s="174"/>
      <c r="F38" s="175"/>
      <c r="G38" s="175"/>
      <c r="H38" s="175"/>
      <c r="I38" s="175"/>
      <c r="J38" s="175"/>
      <c r="K38" s="175"/>
    </row>
    <row r="39" spans="2:11" s="16" customFormat="1" ht="19.5" customHeight="1" x14ac:dyDescent="0.2">
      <c r="B39" s="62"/>
      <c r="C39" s="62"/>
      <c r="D39" s="62"/>
      <c r="E39" s="62"/>
      <c r="F39" s="63"/>
      <c r="G39" s="63"/>
      <c r="H39" s="63"/>
      <c r="I39" s="63"/>
      <c r="J39" s="63"/>
      <c r="K39" s="63"/>
    </row>
    <row r="40" spans="2:11" s="16" customFormat="1" ht="20.25" customHeight="1" x14ac:dyDescent="0.2">
      <c r="B40" s="178" t="s">
        <v>62</v>
      </c>
      <c r="C40" s="178"/>
      <c r="D40" s="178"/>
      <c r="E40" s="179"/>
      <c r="F40" s="179"/>
      <c r="G40" s="179"/>
      <c r="H40" s="179"/>
      <c r="I40" s="179"/>
      <c r="J40" s="179"/>
      <c r="K40" s="179"/>
    </row>
    <row r="41" spans="2:11" s="16" customFormat="1" ht="6" customHeight="1" x14ac:dyDescent="0.25">
      <c r="B41" s="64"/>
      <c r="C41" s="64"/>
      <c r="D41" s="64"/>
      <c r="E41" s="65"/>
      <c r="F41" s="65"/>
      <c r="G41" s="65"/>
      <c r="H41" s="65"/>
      <c r="I41" s="65"/>
      <c r="J41" s="65"/>
      <c r="K41" s="65"/>
    </row>
    <row r="42" spans="2:11" s="16" customFormat="1" ht="19.5" customHeight="1" x14ac:dyDescent="0.2">
      <c r="B42" s="181" t="s">
        <v>249</v>
      </c>
      <c r="C42" s="181"/>
      <c r="D42" s="181"/>
      <c r="E42" s="181"/>
      <c r="F42" s="181"/>
      <c r="G42" s="181"/>
      <c r="H42" s="181"/>
      <c r="I42" s="181"/>
      <c r="J42" s="181"/>
      <c r="K42" s="181"/>
    </row>
    <row r="43" spans="2:11" s="16" customFormat="1" ht="14.25" x14ac:dyDescent="0.2">
      <c r="B43" s="66"/>
      <c r="C43" s="66"/>
      <c r="D43" s="66"/>
      <c r="E43" s="66"/>
      <c r="F43" s="66"/>
      <c r="G43" s="66"/>
      <c r="H43" s="66"/>
      <c r="I43" s="66"/>
      <c r="J43" s="66"/>
      <c r="K43" s="66"/>
    </row>
    <row r="44" spans="2:11" s="16" customFormat="1" ht="18" x14ac:dyDescent="0.25">
      <c r="B44" s="176" t="s">
        <v>63</v>
      </c>
      <c r="C44" s="176"/>
      <c r="D44" s="176"/>
      <c r="E44" s="177"/>
      <c r="F44" s="177"/>
      <c r="G44" s="177"/>
      <c r="H44" s="177"/>
      <c r="I44" s="177"/>
      <c r="J44" s="177"/>
      <c r="K44" s="177"/>
    </row>
    <row r="45" spans="2:11" s="16" customFormat="1" ht="6.75" customHeight="1" x14ac:dyDescent="0.2">
      <c r="B45" s="241"/>
      <c r="C45" s="242"/>
      <c r="D45" s="242"/>
      <c r="E45" s="242"/>
      <c r="F45" s="242"/>
      <c r="G45" s="242"/>
      <c r="H45" s="242"/>
      <c r="I45" s="242"/>
      <c r="J45" s="242"/>
      <c r="K45" s="242"/>
    </row>
    <row r="46" spans="2:11" s="16" customFormat="1" x14ac:dyDescent="0.2">
      <c r="B46" s="243"/>
      <c r="C46" s="244"/>
      <c r="D46" s="244"/>
      <c r="E46" s="244"/>
      <c r="F46" s="244"/>
      <c r="G46" s="244"/>
      <c r="H46" s="244"/>
      <c r="I46" s="244"/>
      <c r="J46" s="244"/>
      <c r="K46" s="244"/>
    </row>
    <row r="47" spans="2:11" s="16" customFormat="1" ht="14.25" x14ac:dyDescent="0.2">
      <c r="B47" s="245" t="s">
        <v>250</v>
      </c>
      <c r="C47" s="245"/>
      <c r="D47" s="245"/>
      <c r="E47" s="245"/>
      <c r="F47" s="245"/>
      <c r="G47" s="245"/>
      <c r="H47" s="245"/>
      <c r="I47" s="245"/>
      <c r="J47" s="245"/>
      <c r="K47" s="245"/>
    </row>
    <row r="48" spans="2:11" s="16" customFormat="1" ht="14.25" x14ac:dyDescent="0.2">
      <c r="B48" s="245" t="s">
        <v>218</v>
      </c>
      <c r="C48" s="245"/>
      <c r="D48" s="245"/>
      <c r="E48" s="245"/>
      <c r="F48" s="245"/>
      <c r="G48" s="245"/>
      <c r="H48" s="245"/>
      <c r="I48" s="245"/>
      <c r="J48" s="245"/>
      <c r="K48" s="245"/>
    </row>
    <row r="49" spans="2:15" s="16" customFormat="1" ht="14.25" x14ac:dyDescent="0.2">
      <c r="B49" s="246" t="s">
        <v>251</v>
      </c>
      <c r="C49" s="245"/>
      <c r="D49" s="245"/>
      <c r="E49" s="245"/>
      <c r="F49" s="245"/>
      <c r="G49" s="245"/>
      <c r="H49" s="245"/>
      <c r="I49" s="245"/>
      <c r="J49" s="245"/>
      <c r="K49" s="245"/>
    </row>
    <row r="50" spans="2:15" s="16" customFormat="1" ht="14.25" x14ac:dyDescent="0.2">
      <c r="B50" s="245" t="s">
        <v>64</v>
      </c>
      <c r="C50" s="245"/>
      <c r="D50" s="245"/>
      <c r="E50" s="245"/>
      <c r="F50" s="245"/>
      <c r="G50" s="245"/>
      <c r="H50" s="245"/>
      <c r="I50" s="245"/>
      <c r="J50" s="245"/>
      <c r="K50" s="245"/>
    </row>
    <row r="51" spans="2:15" s="16" customFormat="1" ht="14.25" x14ac:dyDescent="0.2">
      <c r="B51" s="246" t="s">
        <v>48</v>
      </c>
      <c r="C51" s="247"/>
      <c r="D51" s="247"/>
      <c r="E51" s="247"/>
      <c r="F51" s="247"/>
      <c r="G51" s="247"/>
      <c r="H51" s="247"/>
      <c r="I51" s="247"/>
      <c r="J51" s="247"/>
      <c r="K51" s="247"/>
    </row>
    <row r="52" spans="2:15" ht="12.75" customHeight="1" x14ac:dyDescent="0.2">
      <c r="B52" s="236" t="s">
        <v>65</v>
      </c>
      <c r="C52" s="248"/>
      <c r="D52" s="248"/>
      <c r="E52" s="248"/>
      <c r="F52" s="248"/>
      <c r="G52" s="248"/>
      <c r="H52" s="248"/>
      <c r="I52" s="248"/>
      <c r="J52" s="248"/>
      <c r="K52" s="248"/>
    </row>
    <row r="53" spans="2:15" ht="12.75" customHeight="1" x14ac:dyDescent="0.2">
      <c r="B53" s="245" t="s">
        <v>66</v>
      </c>
      <c r="C53" s="245"/>
      <c r="D53" s="245"/>
      <c r="E53" s="245"/>
      <c r="F53" s="245"/>
      <c r="G53" s="245"/>
      <c r="H53" s="245"/>
      <c r="I53" s="245"/>
      <c r="J53" s="245"/>
      <c r="K53" s="245"/>
    </row>
    <row r="54" spans="2:15" ht="12.75" customHeight="1" x14ac:dyDescent="0.2">
      <c r="B54" s="249"/>
      <c r="C54" s="249"/>
      <c r="D54" s="249"/>
      <c r="E54" s="249"/>
      <c r="F54" s="249"/>
      <c r="G54" s="249"/>
      <c r="H54" s="249"/>
      <c r="I54" s="249"/>
      <c r="J54" s="249"/>
      <c r="K54" s="249"/>
    </row>
    <row r="55" spans="2:15" ht="12.75" customHeight="1" x14ac:dyDescent="0.2">
      <c r="B55" s="236" t="s">
        <v>67</v>
      </c>
      <c r="C55" s="248"/>
      <c r="D55" s="248"/>
      <c r="E55" s="248"/>
      <c r="F55" s="248"/>
      <c r="G55" s="248"/>
      <c r="H55" s="248"/>
      <c r="I55" s="248"/>
      <c r="J55" s="248"/>
      <c r="K55" s="248"/>
    </row>
    <row r="56" spans="2:15" ht="15.75" customHeight="1" x14ac:dyDescent="0.2">
      <c r="B56" s="245" t="s">
        <v>69</v>
      </c>
      <c r="C56" s="245"/>
      <c r="D56" s="245"/>
      <c r="E56" s="245"/>
      <c r="F56" s="245"/>
      <c r="G56" s="245"/>
      <c r="H56" s="245"/>
      <c r="I56" s="245"/>
      <c r="J56" s="245"/>
      <c r="K56" s="245"/>
      <c r="L56" s="5"/>
      <c r="M56" s="5"/>
      <c r="N56" s="4"/>
    </row>
    <row r="57" spans="2:15" ht="14.25" customHeight="1" x14ac:dyDescent="0.2">
      <c r="B57" s="245" t="s">
        <v>219</v>
      </c>
      <c r="C57" s="245"/>
      <c r="D57" s="245"/>
      <c r="E57" s="245"/>
      <c r="F57" s="245"/>
      <c r="G57" s="245"/>
      <c r="H57" s="245"/>
      <c r="I57" s="245"/>
      <c r="J57" s="245"/>
      <c r="K57" s="245"/>
      <c r="L57" s="5"/>
      <c r="M57" s="5"/>
      <c r="N57" s="4"/>
    </row>
    <row r="58" spans="2:15" ht="13.5" customHeight="1" x14ac:dyDescent="0.2">
      <c r="B58" s="245" t="s">
        <v>210</v>
      </c>
      <c r="C58" s="245"/>
      <c r="D58" s="245"/>
      <c r="E58" s="245"/>
      <c r="F58" s="245"/>
      <c r="G58" s="245"/>
      <c r="H58" s="245"/>
      <c r="I58" s="245"/>
      <c r="J58" s="245"/>
      <c r="K58" s="245"/>
      <c r="L58" s="5"/>
      <c r="M58" s="5"/>
      <c r="N58" s="4"/>
    </row>
    <row r="59" spans="2:15" ht="12.75" customHeight="1" x14ac:dyDescent="0.2">
      <c r="B59" s="245" t="s">
        <v>220</v>
      </c>
      <c r="C59" s="245"/>
      <c r="D59" s="245"/>
      <c r="E59" s="245"/>
      <c r="F59" s="245"/>
      <c r="G59" s="245"/>
      <c r="H59" s="245"/>
      <c r="I59" s="245"/>
      <c r="J59" s="245"/>
      <c r="K59" s="245"/>
    </row>
    <row r="60" spans="2:15" ht="12.75" customHeight="1" x14ac:dyDescent="0.2">
      <c r="B60" s="249"/>
      <c r="C60" s="249"/>
      <c r="D60" s="249"/>
      <c r="E60" s="249"/>
      <c r="F60" s="249"/>
      <c r="G60" s="249"/>
      <c r="H60" s="249"/>
      <c r="I60" s="249"/>
      <c r="J60" s="249"/>
      <c r="K60" s="249"/>
    </row>
    <row r="61" spans="2:15" ht="12.75" customHeight="1" x14ac:dyDescent="0.2">
      <c r="B61" s="236" t="s">
        <v>68</v>
      </c>
      <c r="C61" s="248"/>
      <c r="D61" s="248"/>
      <c r="E61" s="248"/>
      <c r="F61" s="248"/>
      <c r="G61" s="248"/>
      <c r="H61" s="248"/>
      <c r="I61" s="248"/>
      <c r="J61" s="248"/>
      <c r="K61" s="248"/>
    </row>
    <row r="62" spans="2:15" ht="12.75" customHeight="1" x14ac:dyDescent="0.2">
      <c r="B62" s="245" t="s">
        <v>211</v>
      </c>
      <c r="C62" s="245"/>
      <c r="D62" s="245"/>
      <c r="E62" s="245"/>
      <c r="F62" s="245"/>
      <c r="G62" s="245"/>
      <c r="H62" s="245"/>
      <c r="I62" s="245"/>
      <c r="J62" s="245"/>
      <c r="K62" s="245"/>
    </row>
    <row r="63" spans="2:15" ht="15" x14ac:dyDescent="0.2">
      <c r="B63" s="245" t="s">
        <v>212</v>
      </c>
      <c r="C63" s="245"/>
      <c r="D63" s="245"/>
      <c r="E63" s="245"/>
      <c r="F63" s="245"/>
      <c r="G63" s="245"/>
      <c r="H63" s="245"/>
      <c r="I63" s="245"/>
      <c r="J63" s="245"/>
      <c r="K63" s="245"/>
      <c r="L63" s="3"/>
      <c r="M63" s="3"/>
      <c r="N63" s="3"/>
      <c r="O63" s="3"/>
    </row>
    <row r="64" spans="2:15" ht="15" customHeight="1" x14ac:dyDescent="0.2"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3"/>
      <c r="M64" s="3"/>
      <c r="N64" s="3"/>
      <c r="O64" s="3"/>
    </row>
    <row r="65" spans="2:15" ht="15" customHeight="1" x14ac:dyDescent="0.2">
      <c r="B65" s="250" t="s">
        <v>253</v>
      </c>
      <c r="C65" s="245"/>
      <c r="D65" s="245"/>
      <c r="E65" s="245"/>
      <c r="F65" s="245"/>
      <c r="G65" s="245"/>
      <c r="H65" s="245"/>
      <c r="I65" s="245"/>
      <c r="J65" s="245"/>
      <c r="K65" s="245"/>
      <c r="L65" s="3"/>
      <c r="M65" s="3"/>
      <c r="N65" s="3"/>
      <c r="O65" s="3"/>
    </row>
    <row r="66" spans="2:15" ht="15" customHeight="1" x14ac:dyDescent="0.2">
      <c r="B66" s="251"/>
      <c r="C66" s="249"/>
      <c r="D66" s="249"/>
      <c r="E66" s="249"/>
      <c r="F66" s="249"/>
      <c r="G66" s="249"/>
      <c r="H66" s="249"/>
      <c r="I66" s="249"/>
      <c r="J66" s="249"/>
      <c r="K66" s="249"/>
      <c r="L66" s="3"/>
      <c r="M66" s="3"/>
      <c r="N66" s="3"/>
      <c r="O66" s="3"/>
    </row>
    <row r="67" spans="2:15" s="29" customFormat="1" ht="15" customHeight="1" x14ac:dyDescent="0.2">
      <c r="B67" s="252"/>
      <c r="C67" s="253"/>
      <c r="D67" s="253"/>
      <c r="E67" s="253"/>
      <c r="F67" s="253"/>
      <c r="G67" s="253"/>
      <c r="H67" s="253"/>
      <c r="I67" s="253"/>
      <c r="J67" s="253"/>
      <c r="K67" s="253"/>
      <c r="L67" s="67"/>
      <c r="M67" s="67"/>
      <c r="N67" s="67"/>
      <c r="O67" s="67"/>
    </row>
    <row r="68" spans="2:15" ht="18" customHeight="1" x14ac:dyDescent="0.2">
      <c r="B68" s="169" t="s">
        <v>252</v>
      </c>
      <c r="C68" s="169"/>
      <c r="D68" s="169"/>
      <c r="E68" s="170"/>
      <c r="F68" s="170"/>
      <c r="G68" s="170"/>
      <c r="H68" s="170"/>
      <c r="I68" s="170"/>
      <c r="J68" s="170"/>
      <c r="K68" s="170"/>
      <c r="L68" s="3"/>
      <c r="M68" s="3"/>
      <c r="N68" s="3"/>
      <c r="O68" s="3"/>
    </row>
    <row r="69" spans="2:15" s="29" customFormat="1" ht="5.25" customHeight="1" x14ac:dyDescent="0.2">
      <c r="B69" s="69"/>
      <c r="C69" s="69"/>
      <c r="D69" s="69"/>
      <c r="E69" s="70"/>
      <c r="F69" s="70"/>
      <c r="G69" s="70"/>
      <c r="H69" s="70"/>
      <c r="I69" s="70"/>
      <c r="J69" s="70"/>
      <c r="K69" s="70"/>
      <c r="L69" s="67"/>
      <c r="M69" s="67"/>
      <c r="N69" s="67"/>
      <c r="O69" s="67"/>
    </row>
    <row r="70" spans="2:15" ht="18" customHeight="1" x14ac:dyDescent="0.2">
      <c r="B70" s="167" t="s">
        <v>70</v>
      </c>
      <c r="C70" s="168"/>
      <c r="D70" s="167" t="s">
        <v>77</v>
      </c>
      <c r="E70" s="167"/>
      <c r="F70" s="254"/>
      <c r="G70" s="255"/>
      <c r="H70" s="167" t="s">
        <v>160</v>
      </c>
      <c r="I70" s="167"/>
      <c r="J70" s="254"/>
      <c r="K70" s="254"/>
      <c r="L70" s="3"/>
      <c r="M70" s="3"/>
      <c r="N70" s="3"/>
      <c r="O70" s="3"/>
    </row>
    <row r="71" spans="2:15" ht="18" customHeight="1" x14ac:dyDescent="0.2">
      <c r="B71" s="171" t="s">
        <v>71</v>
      </c>
      <c r="C71" s="256"/>
      <c r="D71" s="164" t="s">
        <v>78</v>
      </c>
      <c r="E71" s="165"/>
      <c r="F71" s="165"/>
      <c r="G71" s="166"/>
      <c r="H71" s="165" t="s">
        <v>84</v>
      </c>
      <c r="I71" s="165"/>
      <c r="J71" s="165"/>
      <c r="K71" s="165"/>
      <c r="L71" s="3"/>
      <c r="M71" s="3"/>
      <c r="N71" s="3"/>
      <c r="O71" s="3"/>
    </row>
    <row r="72" spans="2:15" ht="18" customHeight="1" x14ac:dyDescent="0.2">
      <c r="B72" s="257" t="s">
        <v>72</v>
      </c>
      <c r="C72" s="258"/>
      <c r="D72" s="259" t="s">
        <v>80</v>
      </c>
      <c r="E72" s="260"/>
      <c r="F72" s="260"/>
      <c r="G72" s="261"/>
      <c r="H72" s="260" t="s">
        <v>85</v>
      </c>
      <c r="I72" s="260"/>
      <c r="J72" s="260"/>
      <c r="K72" s="260"/>
      <c r="L72" s="3"/>
      <c r="M72" s="71"/>
      <c r="N72" s="3"/>
      <c r="O72" s="3"/>
    </row>
    <row r="73" spans="2:15" ht="18" customHeight="1" x14ac:dyDescent="0.2">
      <c r="B73" s="262" t="s">
        <v>73</v>
      </c>
      <c r="C73" s="263"/>
      <c r="D73" s="264" t="s">
        <v>79</v>
      </c>
      <c r="E73" s="265"/>
      <c r="F73" s="265"/>
      <c r="G73" s="266"/>
      <c r="H73" s="265" t="s">
        <v>86</v>
      </c>
      <c r="I73" s="265"/>
      <c r="J73" s="265"/>
      <c r="K73" s="265"/>
      <c r="L73" s="3"/>
      <c r="M73" s="3"/>
      <c r="N73" s="3"/>
      <c r="O73" s="3"/>
    </row>
    <row r="74" spans="2:15" ht="18" customHeight="1" x14ac:dyDescent="0.2">
      <c r="B74" s="267" t="s">
        <v>74</v>
      </c>
      <c r="C74" s="263"/>
      <c r="D74" s="264" t="s">
        <v>81</v>
      </c>
      <c r="E74" s="265"/>
      <c r="F74" s="265"/>
      <c r="G74" s="266"/>
      <c r="H74" s="265" t="s">
        <v>86</v>
      </c>
      <c r="I74" s="265"/>
      <c r="J74" s="265"/>
      <c r="K74" s="265"/>
      <c r="L74" s="3"/>
      <c r="M74" s="3"/>
      <c r="N74" s="3"/>
      <c r="O74" s="3"/>
    </row>
    <row r="75" spans="2:15" ht="18" customHeight="1" x14ac:dyDescent="0.2">
      <c r="B75" s="268" t="s">
        <v>75</v>
      </c>
      <c r="C75" s="263"/>
      <c r="D75" s="264" t="s">
        <v>82</v>
      </c>
      <c r="E75" s="265"/>
      <c r="F75" s="265"/>
      <c r="G75" s="266"/>
      <c r="H75" s="265" t="s">
        <v>87</v>
      </c>
      <c r="I75" s="265"/>
      <c r="J75" s="265"/>
      <c r="K75" s="265"/>
      <c r="L75" s="3"/>
      <c r="M75" s="3"/>
      <c r="N75" s="3"/>
      <c r="O75" s="3"/>
    </row>
    <row r="76" spans="2:15" ht="18" customHeight="1" x14ac:dyDescent="0.2">
      <c r="B76" s="269" t="s">
        <v>76</v>
      </c>
      <c r="C76" s="270"/>
      <c r="D76" s="271" t="s">
        <v>83</v>
      </c>
      <c r="E76" s="272"/>
      <c r="F76" s="272"/>
      <c r="G76" s="273"/>
      <c r="H76" s="272" t="s">
        <v>88</v>
      </c>
      <c r="I76" s="272"/>
      <c r="J76" s="272"/>
      <c r="K76" s="272"/>
      <c r="L76" s="3"/>
      <c r="M76" s="3"/>
      <c r="N76" s="3"/>
      <c r="O76" s="3"/>
    </row>
    <row r="77" spans="2:15" ht="15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2:15" ht="15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2:15" ht="15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2:15" ht="15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3:15" ht="15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3:15" ht="15" x14ac:dyDescent="0.2">
      <c r="L82" s="3"/>
      <c r="M82" s="3"/>
      <c r="N82" s="3"/>
      <c r="O82" s="3"/>
    </row>
    <row r="83" spans="3:15" ht="15" x14ac:dyDescent="0.2">
      <c r="L83" s="3"/>
      <c r="M83" s="3"/>
      <c r="N83" s="3"/>
      <c r="O83" s="3"/>
    </row>
    <row r="84" spans="3:15" ht="15" x14ac:dyDescent="0.2">
      <c r="L84" s="3"/>
      <c r="M84" s="3"/>
      <c r="N84" s="3"/>
      <c r="O84" s="3"/>
    </row>
    <row r="85" spans="3:15" ht="15" x14ac:dyDescent="0.2">
      <c r="L85" s="3"/>
      <c r="M85" s="3"/>
      <c r="N85" s="3"/>
      <c r="O85" s="3"/>
    </row>
    <row r="86" spans="3:15" ht="15" x14ac:dyDescent="0.2">
      <c r="L86" s="3"/>
      <c r="M86" s="3"/>
      <c r="N86" s="3"/>
      <c r="O86" s="3"/>
    </row>
    <row r="87" spans="3:15" ht="15" x14ac:dyDescent="0.2">
      <c r="L87" s="3"/>
      <c r="M87" s="3"/>
      <c r="N87" s="3"/>
      <c r="O87" s="3"/>
    </row>
    <row r="88" spans="3:15" ht="15" x14ac:dyDescent="0.2">
      <c r="L88" s="3"/>
      <c r="M88" s="3"/>
      <c r="N88" s="3"/>
      <c r="O88" s="3"/>
    </row>
    <row r="89" spans="3:15" ht="15" x14ac:dyDescent="0.2">
      <c r="L89" s="3"/>
      <c r="M89" s="3"/>
      <c r="N89" s="3"/>
      <c r="O89" s="3"/>
    </row>
    <row r="90" spans="3:15" ht="15" x14ac:dyDescent="0.2">
      <c r="L90" s="3"/>
      <c r="M90" s="3"/>
      <c r="N90" s="3"/>
      <c r="O90" s="3"/>
    </row>
    <row r="91" spans="3:15" ht="15" x14ac:dyDescent="0.2">
      <c r="L91" s="8"/>
      <c r="M91" s="3"/>
      <c r="N91" s="3"/>
      <c r="O91" s="3"/>
    </row>
    <row r="92" spans="3:15" ht="15" x14ac:dyDescent="0.2">
      <c r="L92" s="7"/>
      <c r="M92" s="3"/>
      <c r="N92" s="3"/>
      <c r="O92" s="3"/>
    </row>
    <row r="93" spans="3:15" ht="15" x14ac:dyDescent="0.2">
      <c r="L93" s="7"/>
      <c r="M93" s="3"/>
      <c r="N93" s="3"/>
      <c r="O93" s="3"/>
    </row>
    <row r="94" spans="3:15" ht="13.5" customHeight="1" x14ac:dyDescent="0.2">
      <c r="L94" s="3"/>
      <c r="M94" s="3"/>
      <c r="N94" s="3"/>
      <c r="O94" s="3"/>
    </row>
    <row r="95" spans="3:15" ht="15" x14ac:dyDescent="0.2">
      <c r="L95" s="3"/>
      <c r="M95" s="3"/>
      <c r="N95" s="3"/>
      <c r="O95" s="3"/>
    </row>
    <row r="96" spans="3:15" ht="11.25" customHeight="1" x14ac:dyDescent="0.2">
      <c r="L96" s="3"/>
      <c r="M96" s="3"/>
      <c r="N96" s="3"/>
      <c r="O96" s="3"/>
    </row>
    <row r="97" spans="12:15" ht="15" customHeight="1" x14ac:dyDescent="0.2">
      <c r="L97" s="3"/>
      <c r="M97" s="3"/>
      <c r="N97" s="3"/>
      <c r="O97" s="3"/>
    </row>
    <row r="98" spans="12:15" ht="15" customHeight="1" x14ac:dyDescent="0.2">
      <c r="L98" s="3"/>
      <c r="M98" s="3"/>
      <c r="N98" s="3"/>
      <c r="O98" s="3"/>
    </row>
    <row r="99" spans="12:15" ht="15" x14ac:dyDescent="0.2">
      <c r="L99" s="3"/>
      <c r="M99" s="3"/>
      <c r="N99" s="3"/>
      <c r="O99" s="3"/>
    </row>
    <row r="100" spans="12:15" ht="15" x14ac:dyDescent="0.2">
      <c r="L100" s="3"/>
      <c r="M100" s="3"/>
      <c r="N100" s="3"/>
      <c r="O100" s="3"/>
    </row>
    <row r="101" spans="12:15" ht="15" x14ac:dyDescent="0.2">
      <c r="L101" s="3"/>
      <c r="M101" s="3"/>
      <c r="N101" s="3"/>
      <c r="O101" s="3"/>
    </row>
    <row r="102" spans="12:15" ht="27.75" customHeight="1" x14ac:dyDescent="0.2">
      <c r="L102" s="3"/>
      <c r="M102" s="3"/>
      <c r="N102" s="3"/>
      <c r="O102" s="3"/>
    </row>
    <row r="103" spans="12:15" ht="15" x14ac:dyDescent="0.2">
      <c r="L103" s="3"/>
      <c r="M103" s="3"/>
      <c r="N103" s="3"/>
      <c r="O103" s="3"/>
    </row>
    <row r="104" spans="12:15" ht="15" x14ac:dyDescent="0.2">
      <c r="L104" s="3"/>
      <c r="M104" s="3"/>
      <c r="N104" s="3"/>
      <c r="O104" s="3"/>
    </row>
    <row r="105" spans="12:15" ht="15" x14ac:dyDescent="0.2">
      <c r="L105" s="10"/>
      <c r="M105" s="3"/>
      <c r="N105" s="3"/>
      <c r="O105" s="3"/>
    </row>
    <row r="106" spans="12:15" ht="15" x14ac:dyDescent="0.2">
      <c r="L106" s="10"/>
    </row>
    <row r="107" spans="12:15" ht="12.75" customHeight="1" x14ac:dyDescent="0.2">
      <c r="L107" s="9"/>
    </row>
    <row r="108" spans="12:15" ht="18.75" customHeight="1" x14ac:dyDescent="0.2">
      <c r="L108" s="11"/>
      <c r="M108" s="9"/>
    </row>
    <row r="109" spans="12:15" ht="12.75" customHeight="1" x14ac:dyDescent="0.2">
      <c r="L109" s="3"/>
      <c r="M109" s="8"/>
    </row>
    <row r="110" spans="12:15" ht="12.75" customHeight="1" x14ac:dyDescent="0.2">
      <c r="L110" s="3"/>
      <c r="M110" s="8"/>
    </row>
    <row r="111" spans="12:15" ht="12.75" customHeight="1" x14ac:dyDescent="0.2">
      <c r="L111" s="3"/>
      <c r="M111" s="8"/>
    </row>
    <row r="112" spans="12:15" ht="15" x14ac:dyDescent="0.2">
      <c r="L112" s="3"/>
    </row>
    <row r="113" spans="12:13" ht="15" x14ac:dyDescent="0.2">
      <c r="L113" s="3"/>
    </row>
    <row r="114" spans="12:13" ht="15" x14ac:dyDescent="0.2">
      <c r="L114" s="3"/>
    </row>
    <row r="115" spans="12:13" ht="15" x14ac:dyDescent="0.2">
      <c r="L115" s="3"/>
      <c r="M115" s="3"/>
    </row>
    <row r="116" spans="12:13" ht="15" x14ac:dyDescent="0.2">
      <c r="L116" s="3"/>
      <c r="M116" s="3"/>
    </row>
    <row r="117" spans="12:13" ht="15" x14ac:dyDescent="0.2">
      <c r="L117" s="3"/>
      <c r="M117" s="3"/>
    </row>
    <row r="118" spans="12:13" ht="15" x14ac:dyDescent="0.2">
      <c r="L118" s="3"/>
      <c r="M118" s="3"/>
    </row>
    <row r="119" spans="12:13" ht="15" x14ac:dyDescent="0.2">
      <c r="L119" s="3"/>
      <c r="M119" s="3"/>
    </row>
    <row r="120" spans="12:13" ht="15" x14ac:dyDescent="0.2">
      <c r="M120" s="3"/>
    </row>
    <row r="121" spans="12:13" ht="15" x14ac:dyDescent="0.2">
      <c r="M121" s="3"/>
    </row>
    <row r="122" spans="12:13" ht="15" x14ac:dyDescent="0.2">
      <c r="M122" s="3"/>
    </row>
    <row r="123" spans="12:13" ht="15" x14ac:dyDescent="0.2">
      <c r="M123" s="3"/>
    </row>
    <row r="124" spans="12:13" ht="15" x14ac:dyDescent="0.2">
      <c r="M124" s="3"/>
    </row>
    <row r="125" spans="12:13" ht="15" x14ac:dyDescent="0.2">
      <c r="M125" s="3"/>
    </row>
    <row r="126" spans="12:13" ht="15" x14ac:dyDescent="0.2">
      <c r="M126" s="3"/>
    </row>
    <row r="127" spans="12:13" ht="15" x14ac:dyDescent="0.2">
      <c r="M127" s="3"/>
    </row>
  </sheetData>
  <sheetProtection password="F7AF" sheet="1" objects="1" scenarios="1"/>
  <mergeCells count="64">
    <mergeCell ref="B2:K2"/>
    <mergeCell ref="B49:K49"/>
    <mergeCell ref="B45:K45"/>
    <mergeCell ref="B47:K47"/>
    <mergeCell ref="B4:K4"/>
    <mergeCell ref="B42:K42"/>
    <mergeCell ref="B6:K6"/>
    <mergeCell ref="B25:K25"/>
    <mergeCell ref="B18:K18"/>
    <mergeCell ref="B9:K9"/>
    <mergeCell ref="B48:K48"/>
    <mergeCell ref="B20:K20"/>
    <mergeCell ref="B16:K16"/>
    <mergeCell ref="B5:K5"/>
    <mergeCell ref="B8:K8"/>
    <mergeCell ref="B10:K10"/>
    <mergeCell ref="H71:K71"/>
    <mergeCell ref="H73:K73"/>
    <mergeCell ref="H75:K75"/>
    <mergeCell ref="B51:K51"/>
    <mergeCell ref="B75:C75"/>
    <mergeCell ref="H72:K72"/>
    <mergeCell ref="H74:K74"/>
    <mergeCell ref="B55:K55"/>
    <mergeCell ref="B61:K61"/>
    <mergeCell ref="B62:K62"/>
    <mergeCell ref="D70:G70"/>
    <mergeCell ref="B65:K65"/>
    <mergeCell ref="B56:K56"/>
    <mergeCell ref="B57:K57"/>
    <mergeCell ref="B58:K58"/>
    <mergeCell ref="B63:K63"/>
    <mergeCell ref="H76:K76"/>
    <mergeCell ref="B68:K68"/>
    <mergeCell ref="B26:K26"/>
    <mergeCell ref="B59:K59"/>
    <mergeCell ref="B52:K52"/>
    <mergeCell ref="B53:K53"/>
    <mergeCell ref="D76:G76"/>
    <mergeCell ref="B71:C71"/>
    <mergeCell ref="B50:K50"/>
    <mergeCell ref="B32:K32"/>
    <mergeCell ref="B38:K38"/>
    <mergeCell ref="B36:K36"/>
    <mergeCell ref="B44:K44"/>
    <mergeCell ref="B34:K34"/>
    <mergeCell ref="B40:K40"/>
    <mergeCell ref="B27:K27"/>
    <mergeCell ref="B14:K14"/>
    <mergeCell ref="B13:K13"/>
    <mergeCell ref="B17:K17"/>
    <mergeCell ref="B21:K21"/>
    <mergeCell ref="B76:C76"/>
    <mergeCell ref="D71:G71"/>
    <mergeCell ref="D72:G72"/>
    <mergeCell ref="D73:G73"/>
    <mergeCell ref="D75:G75"/>
    <mergeCell ref="D74:G74"/>
    <mergeCell ref="B72:C72"/>
    <mergeCell ref="B73:C73"/>
    <mergeCell ref="B74:C74"/>
    <mergeCell ref="B64:K64"/>
    <mergeCell ref="H70:K70"/>
    <mergeCell ref="B70:C70"/>
  </mergeCells>
  <phoneticPr fontId="0" type="noConversion"/>
  <hyperlinks>
    <hyperlink ref="B34:E34" location="MARATHON6!A1" tooltip="Cliquez sur cette zone pour aller dans le plan" display="Un plan sur 6 séances hebdomadaires;"/>
    <hyperlink ref="B38:E38" location="MARATHON4!A1" tooltip="Cliquez ici pour aller dans le plan" display="Un plan sur 4 séances hebdomadaires."/>
    <hyperlink ref="B36:E36" location="MARATHON5!A1" tooltip="Cliquez ici pour aller dans le plan" display="Un plan sur 5 séances hebdomadaires;"/>
    <hyperlink ref="B38:K38" location="'20 Km 3 train.'!A1" tooltip="Cliquez ici pour aller dans le plan" display="Schema voor 3 trainingen per week "/>
    <hyperlink ref="B36:K36" location="'20 Km 4 train.'!A1" tooltip="Cliquez ici pour aller dans le plan" display="Schema voor 4 trainingen per week "/>
    <hyperlink ref="B34:K34" location="'20 Km 5 train.'!A1" tooltip="Cliquez sur cette zone pour aller dans le plan" display="Schema voor 5 trainingen per week "/>
  </hyperlinks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0"/>
  </sheetPr>
  <dimension ref="B1:AS34"/>
  <sheetViews>
    <sheetView showGridLines="0" zoomScaleNormal="100" workbookViewId="0">
      <selection activeCell="AS1" sqref="AS1:AS2"/>
    </sheetView>
  </sheetViews>
  <sheetFormatPr baseColWidth="10" defaultRowHeight="12.75" x14ac:dyDescent="0.2"/>
  <cols>
    <col min="1" max="1" width="3" customWidth="1"/>
    <col min="2" max="2" width="60.140625" bestFit="1" customWidth="1"/>
    <col min="3" max="3" width="10.7109375" customWidth="1"/>
    <col min="4" max="4" width="8" customWidth="1"/>
    <col min="5" max="5" width="47.5703125" customWidth="1"/>
    <col min="6" max="6" width="12.140625" customWidth="1"/>
    <col min="7" max="7" width="8.28515625" customWidth="1"/>
    <col min="8" max="8" width="14.42578125" customWidth="1"/>
    <col min="9" max="9" width="16" customWidth="1"/>
    <col min="10" max="13" width="12.28515625" customWidth="1"/>
  </cols>
  <sheetData>
    <row r="1" spans="2:45" x14ac:dyDescent="0.2">
      <c r="AS1" s="30">
        <v>2000</v>
      </c>
    </row>
    <row r="2" spans="2:45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  <c r="AS2" s="57">
        <v>1500</v>
      </c>
    </row>
    <row r="6" spans="2:45" ht="18" customHeight="1" x14ac:dyDescent="0.25">
      <c r="B6" s="191" t="s">
        <v>89</v>
      </c>
      <c r="C6" s="191"/>
      <c r="D6" s="191"/>
      <c r="E6" s="192"/>
      <c r="F6" s="192"/>
      <c r="L6" t="s">
        <v>51</v>
      </c>
    </row>
    <row r="7" spans="2:45" s="29" customFormat="1" ht="5.25" customHeight="1" x14ac:dyDescent="0.25">
      <c r="B7" s="72"/>
      <c r="C7" s="72"/>
      <c r="D7" s="72"/>
      <c r="E7" s="73"/>
      <c r="F7" s="73"/>
    </row>
    <row r="8" spans="2:45" ht="21.75" customHeight="1" x14ac:dyDescent="0.2">
      <c r="B8" s="116" t="s">
        <v>90</v>
      </c>
      <c r="C8" s="74"/>
      <c r="D8" s="115" t="s">
        <v>122</v>
      </c>
      <c r="E8" s="193" t="s">
        <v>91</v>
      </c>
      <c r="F8" s="193"/>
    </row>
    <row r="9" spans="2:45" ht="18" customHeight="1" x14ac:dyDescent="0.2">
      <c r="B9" s="97" t="s">
        <v>96</v>
      </c>
      <c r="C9" s="82">
        <v>2000</v>
      </c>
      <c r="D9" s="194"/>
      <c r="E9" s="99" t="s">
        <v>216</v>
      </c>
      <c r="F9" s="90">
        <v>6.5972222222222224E-2</v>
      </c>
    </row>
    <row r="10" spans="2:45" ht="18" customHeight="1" x14ac:dyDescent="0.2">
      <c r="B10" s="98" t="s">
        <v>226</v>
      </c>
      <c r="C10" s="83">
        <v>5.7870370370370376E-3</v>
      </c>
      <c r="D10" s="195"/>
      <c r="E10" s="100" t="s">
        <v>92</v>
      </c>
      <c r="F10" s="91">
        <v>40847</v>
      </c>
    </row>
    <row r="11" spans="2:45" ht="18" customHeight="1" x14ac:dyDescent="0.2">
      <c r="B11" s="81" t="s">
        <v>213</v>
      </c>
      <c r="C11" s="106" t="str">
        <f>TEXT(cat_test_3/K_test,"mm:ss")</f>
        <v>04:10</v>
      </c>
      <c r="D11" s="195"/>
      <c r="E11" s="197" t="s">
        <v>93</v>
      </c>
      <c r="F11" s="198"/>
      <c r="G11" s="2"/>
    </row>
    <row r="12" spans="2:45" ht="18" customHeight="1" x14ac:dyDescent="0.2">
      <c r="B12" s="81" t="s">
        <v>97</v>
      </c>
      <c r="C12" s="107">
        <f>(HOUR(cat_test_3)*3600+MINUTE(cat_test_3)*60+SECOND(cat_test_3))/K_test</f>
        <v>250</v>
      </c>
      <c r="D12" s="195"/>
      <c r="E12" s="101" t="str">
        <f>IF(D_test=2000,"Test 2000m voor doel:","CAT test 1500m voor doel:")</f>
        <v>Test 2000m voor doel:</v>
      </c>
      <c r="F12" s="113" t="str">
        <f>TEXT(((objectif/(dist_semi/K_test))*k_semi),"h:mm:ss")</f>
        <v>0:08:16</v>
      </c>
    </row>
    <row r="13" spans="2:45" ht="18" customHeight="1" x14ac:dyDescent="0.2">
      <c r="B13" s="81" t="s">
        <v>98</v>
      </c>
      <c r="C13" s="108">
        <f>1000/cat_sec</f>
        <v>4</v>
      </c>
      <c r="D13" s="195"/>
      <c r="E13" s="102" t="s">
        <v>225</v>
      </c>
      <c r="F13" s="114" t="str">
        <f>TEXT(((objectif/dist_semi)*k_semi),"hh:mm:ss")</f>
        <v>00:04:08</v>
      </c>
      <c r="I13" s="80"/>
    </row>
    <row r="14" spans="2:45" ht="18" customHeight="1" x14ac:dyDescent="0.2">
      <c r="B14" s="81" t="s">
        <v>254</v>
      </c>
      <c r="C14" s="109">
        <f>1/cat_sec*3600</f>
        <v>14.4</v>
      </c>
      <c r="D14" s="195"/>
      <c r="E14" s="79"/>
      <c r="F14" s="76"/>
    </row>
    <row r="15" spans="2:45" ht="18" customHeight="1" x14ac:dyDescent="0.2">
      <c r="B15" s="81" t="s">
        <v>99</v>
      </c>
      <c r="C15" s="110">
        <f>cat_kmh*ind_vma</f>
        <v>51.12</v>
      </c>
      <c r="D15" s="196"/>
      <c r="E15" s="79"/>
      <c r="F15" s="76"/>
      <c r="G15" s="6"/>
      <c r="I15" s="80"/>
    </row>
    <row r="16" spans="2:45" ht="18" customHeight="1" x14ac:dyDescent="0.2">
      <c r="B16" s="189" t="s">
        <v>100</v>
      </c>
      <c r="C16" s="190"/>
      <c r="D16" s="84">
        <v>44</v>
      </c>
      <c r="E16" s="79" t="s">
        <v>255</v>
      </c>
      <c r="F16" s="76"/>
    </row>
    <row r="17" spans="2:6" ht="18" customHeight="1" x14ac:dyDescent="0.2">
      <c r="B17" s="187" t="s">
        <v>101</v>
      </c>
      <c r="C17" s="188"/>
      <c r="D17" s="85">
        <v>180</v>
      </c>
      <c r="E17" s="79" t="s">
        <v>94</v>
      </c>
      <c r="F17" s="76"/>
    </row>
    <row r="18" spans="2:6" ht="18" customHeight="1" x14ac:dyDescent="0.2">
      <c r="B18" s="98" t="s">
        <v>221</v>
      </c>
      <c r="C18" s="94">
        <v>1000</v>
      </c>
      <c r="D18" s="103">
        <f>fc_repos+(z_travail*0.9)</f>
        <v>166.4</v>
      </c>
      <c r="E18" s="79" t="s">
        <v>227</v>
      </c>
      <c r="F18" s="77"/>
    </row>
    <row r="19" spans="2:6" ht="18" customHeight="1" x14ac:dyDescent="0.2">
      <c r="B19" s="92" t="s">
        <v>222</v>
      </c>
      <c r="C19" s="111" t="str">
        <f>TEXT(INT(C21/60),"00")&amp;":"&amp;TEXT(C21-(INT(C21/60)*60),"00")</f>
        <v>04:10</v>
      </c>
      <c r="D19" s="104">
        <f>fc_repos+(z_travail*0.9)</f>
        <v>166.4</v>
      </c>
      <c r="E19" s="79" t="s">
        <v>95</v>
      </c>
      <c r="F19" s="77"/>
    </row>
    <row r="20" spans="2:6" ht="18" customHeight="1" x14ac:dyDescent="0.2">
      <c r="B20" s="92" t="s">
        <v>214</v>
      </c>
      <c r="C20" s="108">
        <f>C18/C21*3.6</f>
        <v>14.4</v>
      </c>
      <c r="D20" s="104">
        <f>fc_repos+(z_travail*0.9)</f>
        <v>166.4</v>
      </c>
      <c r="E20" s="86"/>
      <c r="F20" s="87"/>
    </row>
    <row r="21" spans="2:6" ht="18" customHeight="1" x14ac:dyDescent="0.2">
      <c r="B21" s="92" t="s">
        <v>102</v>
      </c>
      <c r="C21" s="107">
        <f>dist_vma/(C13+(0.075*((1000-dist_vma)/1000)))</f>
        <v>250</v>
      </c>
      <c r="D21" s="104">
        <f>fc_repos+(z_travail*0.9)</f>
        <v>166.4</v>
      </c>
      <c r="E21" s="89" t="s">
        <v>228</v>
      </c>
      <c r="F21" s="88" t="str">
        <f>TEXT(objectif/dist_semi,"hh:mm:ss")</f>
        <v>00:04:45</v>
      </c>
    </row>
    <row r="22" spans="2:6" ht="18" customHeight="1" x14ac:dyDescent="0.2">
      <c r="B22" s="92" t="s">
        <v>103</v>
      </c>
      <c r="C22" s="111">
        <f>cat_test_3/K_test/0.89</f>
        <v>3.2511444028297965E-3</v>
      </c>
      <c r="D22" s="104">
        <f>fc_repos+(z_travail*0.87)</f>
        <v>162.32</v>
      </c>
      <c r="E22" s="78"/>
      <c r="F22" s="75"/>
    </row>
    <row r="23" spans="2:6" ht="18" customHeight="1" x14ac:dyDescent="0.2">
      <c r="B23" s="92" t="s">
        <v>223</v>
      </c>
      <c r="C23" s="112">
        <f>cat_test_3/K_test/0.68</f>
        <v>4.2551742919389977E-3</v>
      </c>
      <c r="D23" s="104">
        <f>fc_repos+(z_travail*0.68)</f>
        <v>136.48000000000002</v>
      </c>
      <c r="E23" s="78"/>
      <c r="F23" s="75"/>
    </row>
    <row r="24" spans="2:6" ht="18" customHeight="1" x14ac:dyDescent="0.2">
      <c r="B24" s="92" t="s">
        <v>224</v>
      </c>
      <c r="C24" s="95">
        <f>cat_test_3/K_test/0.86</f>
        <v>3.3645564168819989E-3</v>
      </c>
      <c r="D24" s="104">
        <f>fc_repos+(z_travail*0.87)</f>
        <v>162.32</v>
      </c>
      <c r="E24" s="78"/>
      <c r="F24" s="75"/>
    </row>
    <row r="25" spans="2:6" ht="18" customHeight="1" x14ac:dyDescent="0.2">
      <c r="B25" s="93" t="s">
        <v>215</v>
      </c>
      <c r="C25" s="96">
        <f>cat_test_3/K_test/0.86*20</f>
        <v>6.7291128337639977E-2</v>
      </c>
      <c r="D25" s="105">
        <f>fc_repos+(z_travail*0.87)</f>
        <v>162.32</v>
      </c>
      <c r="E25" s="78"/>
      <c r="F25" s="75"/>
    </row>
    <row r="34" ht="19.5" customHeight="1" x14ac:dyDescent="0.2"/>
  </sheetData>
  <sheetProtection password="F7AF" sheet="1" objects="1" scenarios="1"/>
  <mergeCells count="7">
    <mergeCell ref="B2:K2"/>
    <mergeCell ref="B17:C17"/>
    <mergeCell ref="B16:C16"/>
    <mergeCell ref="B6:F6"/>
    <mergeCell ref="E8:F8"/>
    <mergeCell ref="D9:D15"/>
    <mergeCell ref="E11:F11"/>
  </mergeCells>
  <phoneticPr fontId="0" type="noConversion"/>
  <dataValidations count="1">
    <dataValidation type="list" allowBlank="1" showInputMessage="1" showErrorMessage="1" sqref="C9">
      <formula1>$AS$1:$AS$2</formula1>
    </dataValidation>
  </dataValidations>
  <printOptions horizontalCentered="1" verticalCentered="1"/>
  <pageMargins left="0.2" right="0.27" top="0.36" bottom="0.78740157480314965" header="0.24" footer="0.51181102362204722"/>
  <pageSetup paperSize="9" firstPageNumber="0" orientation="landscape" horizontalDpi="300" verticalDpi="300" r:id="rId1"/>
  <headerFooter alignWithMargins="0"/>
  <drawing r:id="rId2"/>
  <legacyDrawing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20"/>
  </sheetPr>
  <dimension ref="B1:T36"/>
  <sheetViews>
    <sheetView showGridLines="0" zoomScaleNormal="100" workbookViewId="0">
      <selection activeCell="S9" sqref="S9"/>
    </sheetView>
  </sheetViews>
  <sheetFormatPr baseColWidth="10" defaultRowHeight="33.950000000000003" customHeight="1" x14ac:dyDescent="0.2"/>
  <cols>
    <col min="1" max="1" width="2.42578125" customWidth="1"/>
    <col min="2" max="2" width="6.7109375" customWidth="1"/>
    <col min="3" max="3" width="17.42578125" style="14" customWidth="1"/>
    <col min="4" max="4" width="7.7109375" customWidth="1"/>
    <col min="5" max="5" width="4.28515625" style="15" customWidth="1"/>
    <col min="6" max="6" width="6.7109375" customWidth="1"/>
    <col min="7" max="7" width="17" style="14" customWidth="1"/>
    <col min="8" max="8" width="7.7109375" customWidth="1"/>
    <col min="9" max="9" width="4.28515625" style="15" customWidth="1"/>
    <col min="10" max="10" width="6.7109375" customWidth="1"/>
    <col min="11" max="11" width="17.42578125" style="14" customWidth="1"/>
    <col min="12" max="12" width="7.7109375" customWidth="1"/>
    <col min="13" max="13" width="4.28515625" style="15" customWidth="1"/>
    <col min="14" max="14" width="6.7109375" customWidth="1"/>
    <col min="15" max="15" width="17.42578125" style="14" customWidth="1"/>
    <col min="16" max="16" width="7.7109375" customWidth="1"/>
    <col min="17" max="17" width="4.28515625" style="15" customWidth="1"/>
  </cols>
  <sheetData>
    <row r="1" spans="2:18" ht="19.5" customHeight="1" x14ac:dyDescent="0.2"/>
    <row r="2" spans="2:18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  <c r="L2" s="274"/>
      <c r="M2" s="274"/>
      <c r="N2" s="274"/>
      <c r="O2" s="274"/>
      <c r="P2" s="274"/>
      <c r="Q2" s="274"/>
      <c r="R2" s="274"/>
    </row>
    <row r="3" spans="2:18" ht="33.950000000000003" customHeight="1" x14ac:dyDescent="0.2">
      <c r="B3" s="12"/>
      <c r="C3" s="275"/>
      <c r="D3" s="12"/>
      <c r="E3" s="276"/>
      <c r="F3" s="12"/>
      <c r="G3" s="275"/>
      <c r="H3" s="12"/>
      <c r="I3" s="276"/>
      <c r="J3" s="12"/>
      <c r="K3" s="275"/>
      <c r="L3" s="12"/>
      <c r="M3" s="276"/>
      <c r="N3" s="12"/>
      <c r="O3" s="275"/>
      <c r="P3" s="12"/>
      <c r="Q3" s="276"/>
      <c r="R3" s="12"/>
    </row>
    <row r="4" spans="2:18" ht="21" customHeight="1" x14ac:dyDescent="0.2">
      <c r="B4" s="186" t="s">
        <v>104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77" t="s">
        <v>259</v>
      </c>
    </row>
    <row r="5" spans="2:18" s="29" customFormat="1" ht="6" customHeight="1" x14ac:dyDescent="0.2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9"/>
    </row>
    <row r="6" spans="2:18" ht="33.950000000000003" customHeight="1" thickBot="1" x14ac:dyDescent="0.25">
      <c r="B6" s="117"/>
      <c r="C6" s="118" t="e">
        <f>"week van "&amp;TEXT(mdate-83,"dd/mm")&amp;" tot "&amp;TEXT(mdate-77,"dd/mm")</f>
        <v>#VALUE!</v>
      </c>
      <c r="D6" s="118" t="s">
        <v>159</v>
      </c>
      <c r="E6" s="119" t="s">
        <v>122</v>
      </c>
      <c r="F6" s="117"/>
      <c r="G6" s="118" t="e">
        <f>"week van "&amp;TEXT(mdate-76,"dd/mm")&amp;" tot "&amp;TEXT(mdate-70,"dd/mm")</f>
        <v>#VALUE!</v>
      </c>
      <c r="H6" s="120" t="s">
        <v>159</v>
      </c>
      <c r="I6" s="119" t="s">
        <v>122</v>
      </c>
      <c r="J6" s="117"/>
      <c r="K6" s="118" t="e">
        <f>"week van "&amp;TEXT(mdate-69,"dd/mm")&amp;" tot "&amp;TEXT(mdate-63,"dd/mm")</f>
        <v>#VALUE!</v>
      </c>
      <c r="L6" s="118" t="s">
        <v>159</v>
      </c>
      <c r="M6" s="119" t="s">
        <v>122</v>
      </c>
      <c r="N6" s="117"/>
      <c r="O6" s="118" t="e">
        <f>"week van "&amp;TEXT(mdate-62,"dd/mm")&amp;" tot "&amp;TEXT(mdate-56,"dd/mm")</f>
        <v>#VALUE!</v>
      </c>
      <c r="P6" s="118" t="s">
        <v>159</v>
      </c>
      <c r="Q6" s="121" t="s">
        <v>122</v>
      </c>
      <c r="R6" s="12"/>
    </row>
    <row r="7" spans="2:18" ht="33.950000000000003" customHeight="1" x14ac:dyDescent="0.2">
      <c r="B7" s="280" t="s">
        <v>135</v>
      </c>
      <c r="C7" s="281" t="s">
        <v>113</v>
      </c>
      <c r="D7" s="282"/>
      <c r="E7" s="283"/>
      <c r="F7" s="280" t="s">
        <v>135</v>
      </c>
      <c r="G7" s="281" t="s">
        <v>113</v>
      </c>
      <c r="H7" s="282"/>
      <c r="I7" s="283"/>
      <c r="J7" s="280" t="s">
        <v>135</v>
      </c>
      <c r="K7" s="281" t="s">
        <v>113</v>
      </c>
      <c r="L7" s="282"/>
      <c r="M7" s="283"/>
      <c r="N7" s="280" t="s">
        <v>135</v>
      </c>
      <c r="O7" s="281" t="s">
        <v>113</v>
      </c>
      <c r="P7" s="282"/>
      <c r="Q7" s="284"/>
      <c r="R7" s="285"/>
    </row>
    <row r="8" spans="2:18" ht="33.950000000000003" customHeight="1" x14ac:dyDescent="0.2">
      <c r="B8" s="286" t="s">
        <v>134</v>
      </c>
      <c r="C8" s="287" t="s">
        <v>116</v>
      </c>
      <c r="D8" s="288">
        <f>cat_test_3/K_test/0.78</f>
        <v>3.7096391263057933E-3</v>
      </c>
      <c r="E8" s="289">
        <f>fc_repos+(z_travail*0.76)</f>
        <v>147.36000000000001</v>
      </c>
      <c r="F8" s="286" t="s">
        <v>134</v>
      </c>
      <c r="G8" s="287" t="s">
        <v>116</v>
      </c>
      <c r="H8" s="288">
        <f>cat_test_3/K_test/78%</f>
        <v>3.7096391263057933E-3</v>
      </c>
      <c r="I8" s="289">
        <f>fc_repos+(z_travail*0.76)</f>
        <v>147.36000000000001</v>
      </c>
      <c r="J8" s="286" t="s">
        <v>134</v>
      </c>
      <c r="K8" s="287" t="s">
        <v>119</v>
      </c>
      <c r="L8" s="288">
        <f>cat_test_3/K_test/78%</f>
        <v>3.7096391263057933E-3</v>
      </c>
      <c r="M8" s="289">
        <f>fc_repos+(z_travail*0.76)</f>
        <v>147.36000000000001</v>
      </c>
      <c r="N8" s="286" t="s">
        <v>134</v>
      </c>
      <c r="O8" s="287" t="s">
        <v>116</v>
      </c>
      <c r="P8" s="288">
        <f>cat_test_3/K_test/78%</f>
        <v>3.7096391263057933E-3</v>
      </c>
      <c r="Q8" s="290">
        <f>fc_repos+(z_travail*0.76)</f>
        <v>147.36000000000001</v>
      </c>
      <c r="R8" s="12"/>
    </row>
    <row r="9" spans="2:18" ht="40.5" customHeight="1" x14ac:dyDescent="0.2">
      <c r="B9" s="286" t="s">
        <v>129</v>
      </c>
      <c r="C9" s="291" t="s">
        <v>123</v>
      </c>
      <c r="D9" s="288" t="str">
        <f>al_marathon</f>
        <v>00:04:45</v>
      </c>
      <c r="E9" s="289">
        <f>fc_competition</f>
        <v>164.68543451652388</v>
      </c>
      <c r="F9" s="286" t="s">
        <v>129</v>
      </c>
      <c r="G9" s="292" t="s">
        <v>124</v>
      </c>
      <c r="H9" s="293">
        <f>cat_vitesse*30</f>
        <v>120</v>
      </c>
      <c r="I9" s="289">
        <f>fc_repos+(z_travail*0.9)</f>
        <v>166.4</v>
      </c>
      <c r="J9" s="286" t="s">
        <v>129</v>
      </c>
      <c r="K9" s="294" t="s">
        <v>198</v>
      </c>
      <c r="L9" s="288">
        <f>cat_test_3/K_test/114%/1000*300</f>
        <v>7.6145224171539968E-4</v>
      </c>
      <c r="M9" s="289">
        <f>fc_repos+(z_travail*0.92)</f>
        <v>169.12</v>
      </c>
      <c r="N9" s="286" t="s">
        <v>129</v>
      </c>
      <c r="O9" s="292" t="s">
        <v>125</v>
      </c>
      <c r="P9" s="293">
        <f>cat_vitesse*50</f>
        <v>200</v>
      </c>
      <c r="Q9" s="290">
        <f>fc_repos+(z_travail*0.9)</f>
        <v>166.4</v>
      </c>
      <c r="R9" s="12"/>
    </row>
    <row r="10" spans="2:18" ht="33.950000000000003" customHeight="1" x14ac:dyDescent="0.2">
      <c r="B10" s="286" t="s">
        <v>130</v>
      </c>
      <c r="C10" s="287" t="s">
        <v>117</v>
      </c>
      <c r="D10" s="288">
        <f>cat_test_3/K_test/78%</f>
        <v>3.7096391263057933E-3</v>
      </c>
      <c r="E10" s="289">
        <f>fc_repos+(z_travail*0.76)</f>
        <v>147.36000000000001</v>
      </c>
      <c r="F10" s="286" t="s">
        <v>130</v>
      </c>
      <c r="G10" s="287" t="s">
        <v>118</v>
      </c>
      <c r="H10" s="288">
        <f>cat_test_3/K_test/78%</f>
        <v>3.7096391263057933E-3</v>
      </c>
      <c r="I10" s="289">
        <f>fc_repos+(z_travail*0.76)</f>
        <v>147.36000000000001</v>
      </c>
      <c r="J10" s="286" t="s">
        <v>130</v>
      </c>
      <c r="K10" s="287" t="s">
        <v>116</v>
      </c>
      <c r="L10" s="288">
        <f>cat_test_3/K_test/78%</f>
        <v>3.7096391263057933E-3</v>
      </c>
      <c r="M10" s="289">
        <f>fc_repos+(z_travail*0.76)</f>
        <v>147.36000000000001</v>
      </c>
      <c r="N10" s="286" t="s">
        <v>130</v>
      </c>
      <c r="O10" s="287" t="s">
        <v>116</v>
      </c>
      <c r="P10" s="288">
        <f>cat_test_3/K_test/78%</f>
        <v>3.7096391263057933E-3</v>
      </c>
      <c r="Q10" s="290">
        <f>fc_repos+(z_travail*0.76)</f>
        <v>147.36000000000001</v>
      </c>
      <c r="R10" s="12"/>
    </row>
    <row r="11" spans="2:18" ht="33.950000000000003" customHeight="1" x14ac:dyDescent="0.2">
      <c r="B11" s="286" t="s">
        <v>131</v>
      </c>
      <c r="C11" s="295" t="s">
        <v>113</v>
      </c>
      <c r="D11" s="288"/>
      <c r="E11" s="289"/>
      <c r="F11" s="286" t="s">
        <v>131</v>
      </c>
      <c r="G11" s="295" t="s">
        <v>113</v>
      </c>
      <c r="H11" s="288"/>
      <c r="I11" s="289"/>
      <c r="J11" s="286" t="s">
        <v>131</v>
      </c>
      <c r="K11" s="295" t="s">
        <v>113</v>
      </c>
      <c r="L11" s="288"/>
      <c r="M11" s="289"/>
      <c r="N11" s="286" t="s">
        <v>131</v>
      </c>
      <c r="O11" s="295" t="s">
        <v>113</v>
      </c>
      <c r="P11" s="288"/>
      <c r="Q11" s="290"/>
      <c r="R11" s="12"/>
    </row>
    <row r="12" spans="2:18" ht="41.25" customHeight="1" x14ac:dyDescent="0.2">
      <c r="B12" s="286" t="s">
        <v>132</v>
      </c>
      <c r="C12" s="294" t="s">
        <v>199</v>
      </c>
      <c r="D12" s="288">
        <f>cat_test_3/K_test/117%/1000*200</f>
        <v>4.9461855017410576E-4</v>
      </c>
      <c r="E12" s="289">
        <f>fc_repos+(z_travail*0.93)</f>
        <v>170.48000000000002</v>
      </c>
      <c r="F12" s="286" t="s">
        <v>132</v>
      </c>
      <c r="G12" s="296" t="s">
        <v>126</v>
      </c>
      <c r="H12" s="288" t="str">
        <f>al_marathon</f>
        <v>00:04:45</v>
      </c>
      <c r="I12" s="289">
        <f>fc_competition</f>
        <v>164.68543451652388</v>
      </c>
      <c r="J12" s="286" t="s">
        <v>132</v>
      </c>
      <c r="K12" s="296" t="s">
        <v>127</v>
      </c>
      <c r="L12" s="288" t="str">
        <f>al_marathon</f>
        <v>00:04:45</v>
      </c>
      <c r="M12" s="289">
        <f>fc_competition</f>
        <v>164.68543451652388</v>
      </c>
      <c r="N12" s="286" t="s">
        <v>132</v>
      </c>
      <c r="O12" s="296" t="s">
        <v>128</v>
      </c>
      <c r="P12" s="288" t="str">
        <f>al_marathon</f>
        <v>00:04:45</v>
      </c>
      <c r="Q12" s="290">
        <f>fc_competition</f>
        <v>164.68543451652388</v>
      </c>
      <c r="R12" s="12"/>
    </row>
    <row r="13" spans="2:18" ht="33.950000000000003" customHeight="1" x14ac:dyDescent="0.2">
      <c r="B13" s="297" t="s">
        <v>133</v>
      </c>
      <c r="C13" s="298" t="s">
        <v>164</v>
      </c>
      <c r="D13" s="299">
        <f>cat_test_3/K_test/68%</f>
        <v>4.2551742919389977E-3</v>
      </c>
      <c r="E13" s="300">
        <f>fc_repos+(z_travail*0.68)</f>
        <v>136.48000000000002</v>
      </c>
      <c r="F13" s="297" t="s">
        <v>133</v>
      </c>
      <c r="G13" s="298" t="s">
        <v>229</v>
      </c>
      <c r="H13" s="299">
        <f>cat_test_3/K_test/68%</f>
        <v>4.2551742919389977E-3</v>
      </c>
      <c r="I13" s="300">
        <f>fc_repos+(z_travail*0.68)</f>
        <v>136.48000000000002</v>
      </c>
      <c r="J13" s="297" t="s">
        <v>133</v>
      </c>
      <c r="K13" s="298" t="s">
        <v>165</v>
      </c>
      <c r="L13" s="299">
        <f>cat_test_3/K_test/68%</f>
        <v>4.2551742919389977E-3</v>
      </c>
      <c r="M13" s="300">
        <f>fc_repos+(z_travail*0.68)</f>
        <v>136.48000000000002</v>
      </c>
      <c r="N13" s="297" t="s">
        <v>133</v>
      </c>
      <c r="O13" s="298" t="s">
        <v>166</v>
      </c>
      <c r="P13" s="299">
        <f>cat_test_3/K_test/68%</f>
        <v>4.2551742919389977E-3</v>
      </c>
      <c r="Q13" s="301">
        <f>fc_repos+(z_travail*0.68)</f>
        <v>136.48000000000002</v>
      </c>
      <c r="R13" s="12"/>
    </row>
    <row r="14" spans="2:18" ht="33.950000000000003" customHeight="1" x14ac:dyDescent="0.2">
      <c r="B14" s="12"/>
      <c r="C14" s="275"/>
      <c r="D14" s="12"/>
      <c r="E14" s="276"/>
      <c r="F14" s="12"/>
      <c r="G14" s="275"/>
      <c r="H14" s="12"/>
      <c r="I14" s="302"/>
      <c r="J14" s="12"/>
      <c r="K14" s="275"/>
      <c r="L14" s="12"/>
      <c r="M14" s="276"/>
      <c r="N14" s="12"/>
      <c r="O14" s="275"/>
      <c r="P14" s="12"/>
      <c r="Q14" s="276"/>
      <c r="R14" s="12"/>
    </row>
    <row r="15" spans="2:18" ht="22.5" customHeight="1" x14ac:dyDescent="0.2">
      <c r="B15" s="303" t="s">
        <v>115</v>
      </c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12"/>
    </row>
    <row r="16" spans="2:18" s="29" customFormat="1" ht="7.5" customHeight="1" x14ac:dyDescent="0.2"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9"/>
    </row>
    <row r="17" spans="2:20" ht="33.950000000000003" customHeight="1" thickBot="1" x14ac:dyDescent="0.25">
      <c r="B17" s="122"/>
      <c r="C17" s="123" t="e">
        <f>"week van "&amp;TEXT(mdate-55,"dd/mm")&amp;" tot "&amp;TEXT(mdate-49,"dd/mm")</f>
        <v>#VALUE!</v>
      </c>
      <c r="D17" s="125"/>
      <c r="E17" s="124"/>
      <c r="F17" s="126"/>
      <c r="G17" s="123" t="e">
        <f>"week van "&amp;TEXT(mdate-48,"dd/mm")&amp;" tot "&amp;TEXT(mdate-42,"dd/mm")</f>
        <v>#VALUE!</v>
      </c>
      <c r="H17" s="125"/>
      <c r="I17" s="124"/>
      <c r="J17" s="126"/>
      <c r="K17" s="123" t="e">
        <f>"week van "&amp;TEXT(mdate-41,"dd/mm")&amp;" tot "&amp;TEXT(mdate-35,"dd/mm")</f>
        <v>#VALUE!</v>
      </c>
      <c r="L17" s="127"/>
      <c r="M17" s="124"/>
      <c r="N17" s="126"/>
      <c r="O17" s="123" t="e">
        <f>"week van "&amp;TEXT(mdate-34,"dd/mm")&amp;" tot "&amp;TEXT(mdate-28,"dd/mm")</f>
        <v>#VALUE!</v>
      </c>
      <c r="P17" s="127"/>
      <c r="Q17" s="128"/>
      <c r="R17" s="12"/>
    </row>
    <row r="18" spans="2:20" ht="33.950000000000003" customHeight="1" x14ac:dyDescent="0.2">
      <c r="B18" s="304" t="s">
        <v>135</v>
      </c>
      <c r="C18" s="305" t="s">
        <v>113</v>
      </c>
      <c r="D18" s="306"/>
      <c r="E18" s="307"/>
      <c r="F18" s="308" t="s">
        <v>135</v>
      </c>
      <c r="G18" s="305" t="s">
        <v>113</v>
      </c>
      <c r="H18" s="306"/>
      <c r="I18" s="307"/>
      <c r="J18" s="308" t="s">
        <v>135</v>
      </c>
      <c r="K18" s="305" t="s">
        <v>113</v>
      </c>
      <c r="L18" s="306"/>
      <c r="M18" s="307"/>
      <c r="N18" s="308" t="s">
        <v>135</v>
      </c>
      <c r="O18" s="305" t="s">
        <v>113</v>
      </c>
      <c r="P18" s="306"/>
      <c r="Q18" s="309"/>
      <c r="R18" s="12"/>
    </row>
    <row r="19" spans="2:20" ht="33.950000000000003" customHeight="1" x14ac:dyDescent="0.2">
      <c r="B19" s="310" t="s">
        <v>134</v>
      </c>
      <c r="C19" s="311" t="s">
        <v>119</v>
      </c>
      <c r="D19" s="312">
        <f>cat_test_3/K_test/78%</f>
        <v>3.7096391263057933E-3</v>
      </c>
      <c r="E19" s="313">
        <f>fc_repos+(z_travail*0.76)</f>
        <v>147.36000000000001</v>
      </c>
      <c r="F19" s="314" t="s">
        <v>134</v>
      </c>
      <c r="G19" s="311" t="s">
        <v>119</v>
      </c>
      <c r="H19" s="312">
        <f>cat_test_3/K_test/78%</f>
        <v>3.7096391263057933E-3</v>
      </c>
      <c r="I19" s="313">
        <f>fc_repos+(z_travail*0.76)</f>
        <v>147.36000000000001</v>
      </c>
      <c r="J19" s="314" t="s">
        <v>134</v>
      </c>
      <c r="K19" s="315" t="s">
        <v>196</v>
      </c>
      <c r="L19" s="312">
        <f>cat_test_3/K_test/99%/1000*900</f>
        <v>2.6304713804713806E-3</v>
      </c>
      <c r="M19" s="313">
        <f>fc_repos+(z_travail*0.89)</f>
        <v>165.04000000000002</v>
      </c>
      <c r="N19" s="314" t="s">
        <v>134</v>
      </c>
      <c r="O19" s="311" t="s">
        <v>119</v>
      </c>
      <c r="P19" s="312">
        <f>cat_test_3/K_test/78%</f>
        <v>3.7096391263057933E-3</v>
      </c>
      <c r="Q19" s="316">
        <f>fc_repos+(z_travail*0.76)</f>
        <v>147.36000000000001</v>
      </c>
      <c r="R19" s="12"/>
    </row>
    <row r="20" spans="2:20" ht="39.75" customHeight="1" x14ac:dyDescent="0.2">
      <c r="B20" s="310" t="s">
        <v>129</v>
      </c>
      <c r="C20" s="317" t="s">
        <v>136</v>
      </c>
      <c r="D20" s="312" t="str">
        <f>al_marathon</f>
        <v>00:04:45</v>
      </c>
      <c r="E20" s="313">
        <f>fc_competition</f>
        <v>164.68543451652388</v>
      </c>
      <c r="F20" s="314" t="s">
        <v>129</v>
      </c>
      <c r="G20" s="318" t="s">
        <v>137</v>
      </c>
      <c r="H20" s="319">
        <f>cat_vitesse*95%*80</f>
        <v>304</v>
      </c>
      <c r="I20" s="313">
        <f>fc_repos+(z_travail*0.88)</f>
        <v>163.68</v>
      </c>
      <c r="J20" s="314" t="s">
        <v>129</v>
      </c>
      <c r="K20" s="311" t="s">
        <v>116</v>
      </c>
      <c r="L20" s="312">
        <f>cat_test_3/K_test/78%</f>
        <v>3.7096391263057933E-3</v>
      </c>
      <c r="M20" s="313">
        <f>fc_repos+(z_travail*0.76)</f>
        <v>147.36000000000001</v>
      </c>
      <c r="N20" s="314" t="s">
        <v>129</v>
      </c>
      <c r="O20" s="318" t="s">
        <v>138</v>
      </c>
      <c r="P20" s="319">
        <f>cat_vitesse*40</f>
        <v>160</v>
      </c>
      <c r="Q20" s="316">
        <f>fc_repos+(z_travail*0.9)</f>
        <v>166.4</v>
      </c>
      <c r="R20" s="12"/>
    </row>
    <row r="21" spans="2:20" ht="33.950000000000003" customHeight="1" x14ac:dyDescent="0.2">
      <c r="B21" s="310" t="s">
        <v>130</v>
      </c>
      <c r="C21" s="311" t="s">
        <v>116</v>
      </c>
      <c r="D21" s="312">
        <f>cat_test_3/K_test/78%</f>
        <v>3.7096391263057933E-3</v>
      </c>
      <c r="E21" s="313">
        <f>fc_repos+(z_travail*0.76)</f>
        <v>147.36000000000001</v>
      </c>
      <c r="F21" s="314" t="s">
        <v>130</v>
      </c>
      <c r="G21" s="311" t="s">
        <v>116</v>
      </c>
      <c r="H21" s="312">
        <f>cat_test_3/K_test/78%</f>
        <v>3.7096391263057933E-3</v>
      </c>
      <c r="I21" s="313">
        <f>fc_repos+(z_travail*0.76)</f>
        <v>147.36000000000001</v>
      </c>
      <c r="J21" s="314" t="s">
        <v>130</v>
      </c>
      <c r="K21" s="320" t="s">
        <v>139</v>
      </c>
      <c r="L21" s="312">
        <f>cat_test_3/K_test/68%</f>
        <v>4.2551742919389977E-3</v>
      </c>
      <c r="M21" s="313">
        <f>fc_repos+(z_travail*0.68)</f>
        <v>136.48000000000002</v>
      </c>
      <c r="N21" s="314" t="s">
        <v>130</v>
      </c>
      <c r="O21" s="311" t="s">
        <v>116</v>
      </c>
      <c r="P21" s="312">
        <f>cat_test_3/K_test/78%</f>
        <v>3.7096391263057933E-3</v>
      </c>
      <c r="Q21" s="316">
        <f>fc_repos+(z_travail*0.76)</f>
        <v>147.36000000000001</v>
      </c>
      <c r="R21" s="12"/>
    </row>
    <row r="22" spans="2:20" ht="33.950000000000003" customHeight="1" x14ac:dyDescent="0.2">
      <c r="B22" s="310" t="s">
        <v>131</v>
      </c>
      <c r="C22" s="321" t="s">
        <v>113</v>
      </c>
      <c r="D22" s="312"/>
      <c r="E22" s="313"/>
      <c r="F22" s="314" t="s">
        <v>131</v>
      </c>
      <c r="G22" s="321" t="s">
        <v>113</v>
      </c>
      <c r="H22" s="312"/>
      <c r="I22" s="313"/>
      <c r="J22" s="314" t="s">
        <v>131</v>
      </c>
      <c r="K22" s="321" t="s">
        <v>113</v>
      </c>
      <c r="L22" s="312"/>
      <c r="M22" s="313"/>
      <c r="N22" s="314" t="s">
        <v>131</v>
      </c>
      <c r="O22" s="321" t="s">
        <v>113</v>
      </c>
      <c r="P22" s="312"/>
      <c r="Q22" s="316"/>
      <c r="R22" s="12"/>
    </row>
    <row r="23" spans="2:20" ht="43.5" customHeight="1" x14ac:dyDescent="0.2">
      <c r="B23" s="310" t="s">
        <v>132</v>
      </c>
      <c r="C23" s="317" t="s">
        <v>140</v>
      </c>
      <c r="D23" s="312" t="str">
        <f>al_marathon</f>
        <v>00:04:45</v>
      </c>
      <c r="E23" s="313">
        <f>fc_competition</f>
        <v>164.68543451652388</v>
      </c>
      <c r="F23" s="314" t="s">
        <v>132</v>
      </c>
      <c r="G23" s="317" t="s">
        <v>141</v>
      </c>
      <c r="H23" s="312" t="str">
        <f>al_marathon</f>
        <v>00:04:45</v>
      </c>
      <c r="I23" s="313">
        <f>fc_competition</f>
        <v>164.68543451652388</v>
      </c>
      <c r="J23" s="314" t="s">
        <v>132</v>
      </c>
      <c r="K23" s="322" t="s">
        <v>142</v>
      </c>
      <c r="L23" s="312">
        <f>cat_test_3/K_test/68%</f>
        <v>4.2551742919389977E-3</v>
      </c>
      <c r="M23" s="313">
        <f>fc_repos+(z_travail*0.68)</f>
        <v>136.48000000000002</v>
      </c>
      <c r="N23" s="314" t="s">
        <v>132</v>
      </c>
      <c r="O23" s="317" t="s">
        <v>143</v>
      </c>
      <c r="P23" s="312" t="str">
        <f>al_marathon</f>
        <v>00:04:45</v>
      </c>
      <c r="Q23" s="316">
        <f>fc_competition</f>
        <v>164.68543451652388</v>
      </c>
      <c r="R23" s="12"/>
      <c r="T23" s="80"/>
    </row>
    <row r="24" spans="2:20" ht="33.950000000000003" customHeight="1" x14ac:dyDescent="0.2">
      <c r="B24" s="323" t="s">
        <v>133</v>
      </c>
      <c r="C24" s="324" t="s">
        <v>144</v>
      </c>
      <c r="D24" s="325">
        <f>cat_test_3/K_test/68%</f>
        <v>4.2551742919389977E-3</v>
      </c>
      <c r="E24" s="326">
        <f>fc_repos+(z_travail*0.68)</f>
        <v>136.48000000000002</v>
      </c>
      <c r="F24" s="327" t="s">
        <v>133</v>
      </c>
      <c r="G24" s="324" t="s">
        <v>145</v>
      </c>
      <c r="H24" s="325">
        <f>cat_test_3/K_test/68%</f>
        <v>4.2551742919389977E-3</v>
      </c>
      <c r="I24" s="326">
        <f>fc_repos+(z_travail*0.68)</f>
        <v>136.48000000000002</v>
      </c>
      <c r="J24" s="327" t="s">
        <v>133</v>
      </c>
      <c r="K24" s="328" t="s">
        <v>146</v>
      </c>
      <c r="L24" s="329">
        <f>vma_obj_km*10/0.885</f>
        <v>3.2433563507009835E-2</v>
      </c>
      <c r="M24" s="330">
        <f>fc_competition</f>
        <v>164.68543451652388</v>
      </c>
      <c r="N24" s="327" t="s">
        <v>133</v>
      </c>
      <c r="O24" s="324" t="s">
        <v>147</v>
      </c>
      <c r="P24" s="325">
        <f>cat_test_3/K_test/68%</f>
        <v>4.2551742919389977E-3</v>
      </c>
      <c r="Q24" s="331">
        <f>fc_repos+(z_travail*0.68)</f>
        <v>136.48000000000002</v>
      </c>
      <c r="R24" s="12"/>
    </row>
    <row r="25" spans="2:20" ht="33.950000000000003" customHeight="1" x14ac:dyDescent="0.2">
      <c r="B25" s="12"/>
      <c r="C25" s="275"/>
      <c r="D25" s="12"/>
      <c r="E25" s="302"/>
      <c r="F25" s="12"/>
      <c r="G25" s="275"/>
      <c r="H25" s="12"/>
      <c r="I25" s="276"/>
      <c r="J25" s="12"/>
      <c r="K25" s="275"/>
      <c r="L25" s="12"/>
      <c r="M25" s="302"/>
      <c r="N25" s="12"/>
      <c r="O25" s="275"/>
      <c r="P25" s="12"/>
      <c r="Q25" s="276"/>
      <c r="R25" s="12"/>
    </row>
    <row r="26" spans="2:20" ht="21.75" customHeight="1" x14ac:dyDescent="0.2">
      <c r="B26" s="186" t="s">
        <v>114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2"/>
    </row>
    <row r="27" spans="2:20" s="29" customFormat="1" ht="7.5" customHeight="1" x14ac:dyDescent="0.2"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40"/>
    </row>
    <row r="28" spans="2:20" ht="33.950000000000003" customHeight="1" thickBot="1" x14ac:dyDescent="0.25">
      <c r="B28" s="129"/>
      <c r="C28" s="130" t="e">
        <f>"week van "&amp;TEXT(mdate-27,"dd/mm")&amp;" tot "&amp;TEXT(mdate-21,"dd/mm")</f>
        <v>#VALUE!</v>
      </c>
      <c r="D28" s="132"/>
      <c r="E28" s="131"/>
      <c r="F28" s="133"/>
      <c r="G28" s="130" t="e">
        <f>"week van "&amp;TEXT(mdate-20,"dd/mm")&amp;" tot "&amp;TEXT(mdate-14,"dd/mm")</f>
        <v>#VALUE!</v>
      </c>
      <c r="H28" s="132"/>
      <c r="I28" s="131"/>
      <c r="J28" s="133"/>
      <c r="K28" s="130" t="e">
        <f>"week van "&amp;TEXT(mdate-13,"dd/mm")&amp;" tot "&amp;TEXT(mdate-7,"dd/mm")</f>
        <v>#VALUE!</v>
      </c>
      <c r="L28" s="134"/>
      <c r="M28" s="131"/>
      <c r="N28" s="133"/>
      <c r="O28" s="130" t="e">
        <f>"week van "&amp;TEXT(mdate-6,"dd/mm")&amp;" tot "&amp;TEXT(mdate,"dd/mm")</f>
        <v>#VALUE!</v>
      </c>
      <c r="P28" s="134"/>
      <c r="Q28" s="135"/>
      <c r="R28" s="12"/>
    </row>
    <row r="29" spans="2:20" ht="33.950000000000003" customHeight="1" x14ac:dyDescent="0.2">
      <c r="B29" s="332" t="s">
        <v>135</v>
      </c>
      <c r="C29" s="333" t="s">
        <v>113</v>
      </c>
      <c r="D29" s="334"/>
      <c r="E29" s="335"/>
      <c r="F29" s="336" t="s">
        <v>135</v>
      </c>
      <c r="G29" s="333" t="s">
        <v>113</v>
      </c>
      <c r="H29" s="334"/>
      <c r="I29" s="335"/>
      <c r="J29" s="336" t="s">
        <v>135</v>
      </c>
      <c r="K29" s="333" t="s">
        <v>113</v>
      </c>
      <c r="L29" s="334"/>
      <c r="M29" s="335"/>
      <c r="N29" s="336" t="s">
        <v>135</v>
      </c>
      <c r="O29" s="333" t="s">
        <v>113</v>
      </c>
      <c r="P29" s="334"/>
      <c r="Q29" s="337"/>
      <c r="R29" s="12"/>
    </row>
    <row r="30" spans="2:20" ht="33.950000000000003" customHeight="1" x14ac:dyDescent="0.2">
      <c r="B30" s="338" t="s">
        <v>134</v>
      </c>
      <c r="C30" s="320" t="s">
        <v>148</v>
      </c>
      <c r="D30" s="312">
        <f>cat_test_3/K_test/68%</f>
        <v>4.2551742919389977E-3</v>
      </c>
      <c r="E30" s="339">
        <f>fc_repos+(z_travail*0.68)</f>
        <v>136.48000000000002</v>
      </c>
      <c r="F30" s="340" t="s">
        <v>134</v>
      </c>
      <c r="G30" s="311" t="s">
        <v>120</v>
      </c>
      <c r="H30" s="312">
        <f>cat_test_3/K_test/78%</f>
        <v>3.7096391263057933E-3</v>
      </c>
      <c r="I30" s="339">
        <f>fc_repos+(z_travail*0.76)</f>
        <v>147.36000000000001</v>
      </c>
      <c r="J30" s="340" t="s">
        <v>134</v>
      </c>
      <c r="K30" s="317" t="s">
        <v>149</v>
      </c>
      <c r="L30" s="312" t="str">
        <f>al_marathon</f>
        <v>00:04:45</v>
      </c>
      <c r="M30" s="339">
        <f>fc_competition</f>
        <v>164.68543451652388</v>
      </c>
      <c r="N30" s="340" t="s">
        <v>134</v>
      </c>
      <c r="O30" s="320" t="s">
        <v>148</v>
      </c>
      <c r="P30" s="312">
        <f>cat_test_3/K_test/68%</f>
        <v>4.2551742919389977E-3</v>
      </c>
      <c r="Q30" s="316">
        <f>fc_repos+(z_travail*0.68)</f>
        <v>136.48000000000002</v>
      </c>
      <c r="R30" s="12"/>
    </row>
    <row r="31" spans="2:20" ht="42.75" customHeight="1" x14ac:dyDescent="0.2">
      <c r="B31" s="338" t="s">
        <v>129</v>
      </c>
      <c r="C31" s="317" t="s">
        <v>154</v>
      </c>
      <c r="D31" s="312" t="str">
        <f>al_marathon</f>
        <v>00:04:45</v>
      </c>
      <c r="E31" s="339">
        <f>fc_competition</f>
        <v>164.68543451652388</v>
      </c>
      <c r="F31" s="340" t="s">
        <v>129</v>
      </c>
      <c r="G31" s="315" t="s">
        <v>194</v>
      </c>
      <c r="H31" s="312">
        <f>cat_test_3/K_test/98%/1000*1200</f>
        <v>3.5430839002267575E-3</v>
      </c>
      <c r="I31" s="339">
        <f>fc_repos+(z_travail*0.88)</f>
        <v>163.68</v>
      </c>
      <c r="J31" s="340" t="s">
        <v>129</v>
      </c>
      <c r="K31" s="318" t="s">
        <v>155</v>
      </c>
      <c r="L31" s="319">
        <f>cat_vitesse*95%*60</f>
        <v>228</v>
      </c>
      <c r="M31" s="339">
        <f>fc_repos+(z_travail*0.88)</f>
        <v>163.68</v>
      </c>
      <c r="N31" s="340" t="s">
        <v>129</v>
      </c>
      <c r="O31" s="315" t="s">
        <v>195</v>
      </c>
      <c r="P31" s="312">
        <f>cat_test_3/K_test/105%/1000*400</f>
        <v>1.1022927689594358E-3</v>
      </c>
      <c r="Q31" s="316">
        <f>fc_repos+(z_travail*0.92)</f>
        <v>169.12</v>
      </c>
      <c r="R31" s="12"/>
      <c r="S31" s="80"/>
    </row>
    <row r="32" spans="2:20" ht="33.950000000000003" customHeight="1" x14ac:dyDescent="0.2">
      <c r="B32" s="338" t="s">
        <v>130</v>
      </c>
      <c r="C32" s="311" t="s">
        <v>116</v>
      </c>
      <c r="D32" s="312">
        <f>cat_test_3/K_test/78%</f>
        <v>3.7096391263057933E-3</v>
      </c>
      <c r="E32" s="339">
        <f>fc_repos+(z_travail*0.76)</f>
        <v>147.36000000000001</v>
      </c>
      <c r="F32" s="340" t="s">
        <v>130</v>
      </c>
      <c r="G32" s="311" t="s">
        <v>116</v>
      </c>
      <c r="H32" s="312">
        <f>cat_test_3/K_test/78%</f>
        <v>3.7096391263057933E-3</v>
      </c>
      <c r="I32" s="339">
        <f>fc_repos+(z_travail*0.76)</f>
        <v>147.36000000000001</v>
      </c>
      <c r="J32" s="340" t="s">
        <v>130</v>
      </c>
      <c r="K32" s="311" t="s">
        <v>116</v>
      </c>
      <c r="L32" s="312">
        <f>cat_test_3/K_test/78%</f>
        <v>3.7096391263057933E-3</v>
      </c>
      <c r="M32" s="339">
        <f>fc_repos+(z_travail*0.76)</f>
        <v>147.36000000000001</v>
      </c>
      <c r="N32" s="340" t="s">
        <v>130</v>
      </c>
      <c r="O32" s="320" t="s">
        <v>150</v>
      </c>
      <c r="P32" s="312">
        <f>cat_test_3/K_test/68%</f>
        <v>4.2551742919389977E-3</v>
      </c>
      <c r="Q32" s="316">
        <f>fc_repos+(z_travail*0.68)</f>
        <v>136.48000000000002</v>
      </c>
      <c r="R32" s="12"/>
    </row>
    <row r="33" spans="2:18" ht="33.950000000000003" customHeight="1" x14ac:dyDescent="0.2">
      <c r="B33" s="338" t="s">
        <v>131</v>
      </c>
      <c r="C33" s="321" t="s">
        <v>113</v>
      </c>
      <c r="D33" s="312"/>
      <c r="E33" s="339"/>
      <c r="F33" s="340" t="s">
        <v>131</v>
      </c>
      <c r="G33" s="321" t="s">
        <v>113</v>
      </c>
      <c r="H33" s="312"/>
      <c r="I33" s="339"/>
      <c r="J33" s="340" t="s">
        <v>131</v>
      </c>
      <c r="K33" s="321" t="s">
        <v>113</v>
      </c>
      <c r="L33" s="312"/>
      <c r="M33" s="339"/>
      <c r="N33" s="340" t="s">
        <v>131</v>
      </c>
      <c r="O33" s="321" t="s">
        <v>113</v>
      </c>
      <c r="P33" s="312"/>
      <c r="Q33" s="316"/>
      <c r="R33" s="12"/>
    </row>
    <row r="34" spans="2:18" ht="39.75" customHeight="1" x14ac:dyDescent="0.2">
      <c r="B34" s="338" t="s">
        <v>132</v>
      </c>
      <c r="C34" s="322" t="s">
        <v>142</v>
      </c>
      <c r="D34" s="312">
        <f>cat_test_3/K_test/68%</f>
        <v>4.2551742919389977E-3</v>
      </c>
      <c r="E34" s="339">
        <f>fc_repos+(z_travail*0.68)</f>
        <v>136.48000000000002</v>
      </c>
      <c r="F34" s="340" t="s">
        <v>132</v>
      </c>
      <c r="G34" s="317" t="s">
        <v>156</v>
      </c>
      <c r="H34" s="312" t="str">
        <f>al_marathon</f>
        <v>00:04:45</v>
      </c>
      <c r="I34" s="339">
        <f>fc_competition</f>
        <v>164.68543451652388</v>
      </c>
      <c r="J34" s="340" t="s">
        <v>132</v>
      </c>
      <c r="K34" s="317" t="s">
        <v>157</v>
      </c>
      <c r="L34" s="312" t="str">
        <f>al_marathon</f>
        <v>00:04:45</v>
      </c>
      <c r="M34" s="339">
        <f>fc_competition</f>
        <v>164.68543451652388</v>
      </c>
      <c r="N34" s="340" t="s">
        <v>132</v>
      </c>
      <c r="O34" s="322" t="s">
        <v>142</v>
      </c>
      <c r="P34" s="312">
        <f>cat_test_3/K_test/68%</f>
        <v>4.2551742919389977E-3</v>
      </c>
      <c r="Q34" s="316">
        <f>fc_repos+(z_travail*0.68)</f>
        <v>136.48000000000002</v>
      </c>
      <c r="R34" s="12"/>
    </row>
    <row r="35" spans="2:18" ht="33.950000000000003" customHeight="1" x14ac:dyDescent="0.2">
      <c r="B35" s="341" t="s">
        <v>133</v>
      </c>
      <c r="C35" s="328" t="s">
        <v>158</v>
      </c>
      <c r="D35" s="329">
        <f>al_marathon*15</f>
        <v>4.9479166666666664E-2</v>
      </c>
      <c r="E35" s="342">
        <f>fc_competition</f>
        <v>164.68543451652388</v>
      </c>
      <c r="F35" s="343" t="s">
        <v>133</v>
      </c>
      <c r="G35" s="324" t="s">
        <v>152</v>
      </c>
      <c r="H35" s="325">
        <f>cat_test_3/K_test/68%</f>
        <v>4.2551742919389977E-3</v>
      </c>
      <c r="I35" s="344">
        <f>fc_repos+(z_travail*0.68)</f>
        <v>136.48000000000002</v>
      </c>
      <c r="J35" s="343" t="s">
        <v>133</v>
      </c>
      <c r="K35" s="324" t="s">
        <v>151</v>
      </c>
      <c r="L35" s="325">
        <f>cat_test_3/K_test/68%</f>
        <v>4.2551742919389977E-3</v>
      </c>
      <c r="M35" s="345">
        <f>fc_repos+(z_travail*0.68)</f>
        <v>136.48000000000002</v>
      </c>
      <c r="N35" s="343" t="s">
        <v>133</v>
      </c>
      <c r="O35" s="346" t="s">
        <v>153</v>
      </c>
      <c r="P35" s="347">
        <f>objectif</f>
        <v>6.5972222222222224E-2</v>
      </c>
      <c r="Q35" s="348">
        <f>fc_competition</f>
        <v>164.68543451652388</v>
      </c>
      <c r="R35" s="12"/>
    </row>
    <row r="36" spans="2:18" ht="33.950000000000003" customHeight="1" x14ac:dyDescent="0.2">
      <c r="M36" s="31"/>
    </row>
  </sheetData>
  <sheetProtection password="F7AF" sheet="1" objects="1" scenarios="1"/>
  <mergeCells count="4">
    <mergeCell ref="B2:K2"/>
    <mergeCell ref="B4:Q4"/>
    <mergeCell ref="B15:Q15"/>
    <mergeCell ref="B26:Q26"/>
  </mergeCells>
  <phoneticPr fontId="0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firstPageNumber="0" orientation="landscape" horizontalDpi="300" verticalDpi="300" r:id="rId1"/>
  <headerFooter alignWithMargins="0"/>
  <drawing r:id="rId2"/>
  <legacyDrawing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62"/>
  </sheetPr>
  <dimension ref="B1:V36"/>
  <sheetViews>
    <sheetView showGridLines="0" zoomScaleNormal="100" workbookViewId="0">
      <selection activeCell="S3" sqref="S3"/>
    </sheetView>
  </sheetViews>
  <sheetFormatPr baseColWidth="10" defaultRowHeight="33.950000000000003" customHeight="1" x14ac:dyDescent="0.2"/>
  <cols>
    <col min="1" max="1" width="2.7109375" customWidth="1"/>
    <col min="2" max="2" width="6.7109375" customWidth="1"/>
    <col min="3" max="3" width="17.7109375" style="14" customWidth="1"/>
    <col min="4" max="4" width="7.7109375" customWidth="1"/>
    <col min="5" max="5" width="4.28515625" style="15" customWidth="1"/>
    <col min="6" max="6" width="6.7109375" customWidth="1"/>
    <col min="7" max="7" width="16.42578125" style="14" customWidth="1"/>
    <col min="8" max="8" width="7.7109375" customWidth="1"/>
    <col min="9" max="9" width="4.28515625" style="15" customWidth="1"/>
    <col min="10" max="10" width="6.7109375" customWidth="1"/>
    <col min="11" max="11" width="17.5703125" style="14" customWidth="1"/>
    <col min="12" max="12" width="7.7109375" customWidth="1"/>
    <col min="13" max="13" width="4.28515625" style="15" customWidth="1"/>
    <col min="14" max="14" width="6.7109375" customWidth="1"/>
    <col min="15" max="15" width="16.42578125" style="14" customWidth="1"/>
    <col min="16" max="16" width="7.7109375" customWidth="1"/>
    <col min="17" max="17" width="4.28515625" style="15" customWidth="1"/>
  </cols>
  <sheetData>
    <row r="1" spans="2:22" ht="20.25" customHeight="1" x14ac:dyDescent="0.2"/>
    <row r="2" spans="2:22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74"/>
      <c r="N2" s="274"/>
      <c r="O2" s="274"/>
      <c r="P2" s="274"/>
      <c r="Q2" s="274"/>
      <c r="R2" s="274"/>
    </row>
    <row r="3" spans="2:22" ht="33.950000000000003" customHeight="1" x14ac:dyDescent="0.2">
      <c r="B3" s="12"/>
      <c r="C3" s="275"/>
      <c r="D3" s="12"/>
      <c r="E3" s="276"/>
      <c r="F3" s="12"/>
      <c r="G3" s="275"/>
      <c r="H3" s="12"/>
      <c r="I3" s="276"/>
      <c r="J3" s="12"/>
      <c r="K3" s="275"/>
      <c r="L3" s="12"/>
      <c r="M3" s="276"/>
      <c r="N3" s="12"/>
      <c r="O3" s="275"/>
      <c r="P3" s="12"/>
      <c r="Q3" s="276"/>
      <c r="R3" s="12"/>
    </row>
    <row r="4" spans="2:22" ht="23.25" customHeight="1" x14ac:dyDescent="0.2">
      <c r="B4" s="303" t="s">
        <v>104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277" t="s">
        <v>259</v>
      </c>
    </row>
    <row r="5" spans="2:22" s="29" customFormat="1" ht="7.5" customHeight="1" x14ac:dyDescent="0.2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9"/>
    </row>
    <row r="6" spans="2:22" ht="33.950000000000003" customHeight="1" thickBot="1" x14ac:dyDescent="0.25">
      <c r="B6" s="117"/>
      <c r="C6" s="118" t="e">
        <f>"week van "&amp;TEXT(mdate-83,"dd/mm")&amp;" tot "&amp;TEXT(mdate-77,"dd/mm")</f>
        <v>#VALUE!</v>
      </c>
      <c r="D6" s="118" t="s">
        <v>159</v>
      </c>
      <c r="E6" s="119" t="s">
        <v>122</v>
      </c>
      <c r="F6" s="117"/>
      <c r="G6" s="118" t="e">
        <f>"week van "&amp;TEXT(mdate-76,"dd/mm")&amp;" tot "&amp;TEXT(mdate-70,"dd/mm")</f>
        <v>#VALUE!</v>
      </c>
      <c r="H6" s="120" t="s">
        <v>159</v>
      </c>
      <c r="I6" s="119" t="s">
        <v>122</v>
      </c>
      <c r="J6" s="117"/>
      <c r="K6" s="118" t="e">
        <f>"week van "&amp;TEXT(mdate-69,"dd/mm")&amp;" tot "&amp;TEXT(mdate-63,"dd/mm")</f>
        <v>#VALUE!</v>
      </c>
      <c r="L6" s="118" t="s">
        <v>159</v>
      </c>
      <c r="M6" s="119" t="s">
        <v>122</v>
      </c>
      <c r="N6" s="117"/>
      <c r="O6" s="118" t="e">
        <f>"week van "&amp;TEXT(mdate-62,"dd/mm")&amp;" tot "&amp;TEXT(mdate-56,"dd/mm")</f>
        <v>#VALUE!</v>
      </c>
      <c r="P6" s="118" t="s">
        <v>159</v>
      </c>
      <c r="Q6" s="121" t="s">
        <v>122</v>
      </c>
      <c r="R6" s="12"/>
      <c r="V6" s="80"/>
    </row>
    <row r="7" spans="2:22" ht="33.950000000000003" customHeight="1" x14ac:dyDescent="0.2">
      <c r="B7" s="349" t="s">
        <v>135</v>
      </c>
      <c r="C7" s="350" t="s">
        <v>113</v>
      </c>
      <c r="D7" s="351"/>
      <c r="E7" s="352"/>
      <c r="F7" s="349" t="s">
        <v>135</v>
      </c>
      <c r="G7" s="350" t="s">
        <v>113</v>
      </c>
      <c r="H7" s="351"/>
      <c r="I7" s="352"/>
      <c r="J7" s="349" t="s">
        <v>135</v>
      </c>
      <c r="K7" s="350" t="s">
        <v>113</v>
      </c>
      <c r="L7" s="351"/>
      <c r="M7" s="352"/>
      <c r="N7" s="349" t="s">
        <v>135</v>
      </c>
      <c r="O7" s="350" t="s">
        <v>113</v>
      </c>
      <c r="P7" s="351"/>
      <c r="Q7" s="353"/>
      <c r="R7" s="12"/>
    </row>
    <row r="8" spans="2:22" ht="39.75" customHeight="1" x14ac:dyDescent="0.2">
      <c r="B8" s="338" t="s">
        <v>134</v>
      </c>
      <c r="C8" s="311" t="s">
        <v>121</v>
      </c>
      <c r="D8" s="312">
        <f>cat_test_3/K_test/78%</f>
        <v>3.7096391263057933E-3</v>
      </c>
      <c r="E8" s="354">
        <f>fc_repos+(z_travail*0.76)</f>
        <v>147.36000000000001</v>
      </c>
      <c r="F8" s="338" t="s">
        <v>134</v>
      </c>
      <c r="G8" s="318" t="s">
        <v>124</v>
      </c>
      <c r="H8" s="319">
        <f>cat_vitesse*30</f>
        <v>120</v>
      </c>
      <c r="I8" s="354">
        <f>fc_repos+(z_travail*0.9)</f>
        <v>166.4</v>
      </c>
      <c r="J8" s="338" t="s">
        <v>134</v>
      </c>
      <c r="K8" s="315" t="s">
        <v>197</v>
      </c>
      <c r="L8" s="312">
        <f>cat_test_3/K_test/114%/1000*300</f>
        <v>7.6145224171539968E-4</v>
      </c>
      <c r="M8" s="354">
        <f>fc_repos+(z_travail*0.92)</f>
        <v>169.12</v>
      </c>
      <c r="N8" s="338" t="s">
        <v>134</v>
      </c>
      <c r="O8" s="318" t="s">
        <v>125</v>
      </c>
      <c r="P8" s="319">
        <f>cat_vitesse*50</f>
        <v>200</v>
      </c>
      <c r="Q8" s="316">
        <f>fc_repos+(z_travail*0.9)</f>
        <v>166.4</v>
      </c>
      <c r="R8" s="12"/>
    </row>
    <row r="9" spans="2:22" ht="33.950000000000003" customHeight="1" x14ac:dyDescent="0.2">
      <c r="B9" s="338" t="s">
        <v>129</v>
      </c>
      <c r="C9" s="355" t="s">
        <v>113</v>
      </c>
      <c r="D9" s="319"/>
      <c r="E9" s="354"/>
      <c r="F9" s="338" t="s">
        <v>129</v>
      </c>
      <c r="G9" s="355" t="s">
        <v>113</v>
      </c>
      <c r="H9" s="312"/>
      <c r="I9" s="354"/>
      <c r="J9" s="338" t="s">
        <v>129</v>
      </c>
      <c r="K9" s="355" t="s">
        <v>113</v>
      </c>
      <c r="L9" s="319"/>
      <c r="M9" s="354"/>
      <c r="N9" s="338" t="s">
        <v>129</v>
      </c>
      <c r="O9" s="355" t="s">
        <v>113</v>
      </c>
      <c r="P9" s="312"/>
      <c r="Q9" s="316"/>
      <c r="R9" s="12"/>
    </row>
    <row r="10" spans="2:22" ht="33.950000000000003" customHeight="1" x14ac:dyDescent="0.2">
      <c r="B10" s="338" t="s">
        <v>130</v>
      </c>
      <c r="C10" s="311" t="s">
        <v>116</v>
      </c>
      <c r="D10" s="312">
        <f>cat_test_3/K_test/78%</f>
        <v>3.7096391263057933E-3</v>
      </c>
      <c r="E10" s="354">
        <f>fc_repos+(z_travail*0.76)</f>
        <v>147.36000000000001</v>
      </c>
      <c r="F10" s="338" t="s">
        <v>130</v>
      </c>
      <c r="G10" s="311" t="s">
        <v>116</v>
      </c>
      <c r="H10" s="312">
        <f>cat_test_3/K_test/78%</f>
        <v>3.7096391263057933E-3</v>
      </c>
      <c r="I10" s="354">
        <f>fc_repos+(z_travail*0.76)</f>
        <v>147.36000000000001</v>
      </c>
      <c r="J10" s="338" t="s">
        <v>130</v>
      </c>
      <c r="K10" s="311" t="s">
        <v>116</v>
      </c>
      <c r="L10" s="312">
        <f>cat_test_3/K_test/78%</f>
        <v>3.7096391263057933E-3</v>
      </c>
      <c r="M10" s="354">
        <f>fc_repos+(z_travail*0.76)</f>
        <v>147.36000000000001</v>
      </c>
      <c r="N10" s="338" t="s">
        <v>130</v>
      </c>
      <c r="O10" s="311" t="s">
        <v>119</v>
      </c>
      <c r="P10" s="312">
        <f>cat_test_3/K_test/78%</f>
        <v>3.7096391263057933E-3</v>
      </c>
      <c r="Q10" s="316">
        <f>fc_repos+(z_travail*0.76)</f>
        <v>147.36000000000001</v>
      </c>
      <c r="R10" s="12"/>
    </row>
    <row r="11" spans="2:22" ht="33.950000000000003" customHeight="1" x14ac:dyDescent="0.2">
      <c r="B11" s="338" t="s">
        <v>131</v>
      </c>
      <c r="C11" s="355" t="s">
        <v>113</v>
      </c>
      <c r="D11" s="312"/>
      <c r="E11" s="354"/>
      <c r="F11" s="338" t="s">
        <v>131</v>
      </c>
      <c r="G11" s="355" t="s">
        <v>113</v>
      </c>
      <c r="H11" s="312"/>
      <c r="I11" s="354"/>
      <c r="J11" s="338" t="s">
        <v>131</v>
      </c>
      <c r="K11" s="355" t="s">
        <v>113</v>
      </c>
      <c r="L11" s="312"/>
      <c r="M11" s="354"/>
      <c r="N11" s="338" t="s">
        <v>131</v>
      </c>
      <c r="O11" s="355" t="s">
        <v>113</v>
      </c>
      <c r="P11" s="312"/>
      <c r="Q11" s="316"/>
      <c r="R11" s="12"/>
    </row>
    <row r="12" spans="2:22" ht="42.75" customHeight="1" x14ac:dyDescent="0.2">
      <c r="B12" s="338" t="s">
        <v>132</v>
      </c>
      <c r="C12" s="315" t="s">
        <v>193</v>
      </c>
      <c r="D12" s="312">
        <f>cat_test_3/K_test/117%/1000*200</f>
        <v>4.9461855017410576E-4</v>
      </c>
      <c r="E12" s="354">
        <f>fc_repos+(z_travail*0.93)</f>
        <v>170.48000000000002</v>
      </c>
      <c r="F12" s="338" t="s">
        <v>132</v>
      </c>
      <c r="G12" s="317" t="s">
        <v>161</v>
      </c>
      <c r="H12" s="312" t="str">
        <f>al_marathon</f>
        <v>00:04:45</v>
      </c>
      <c r="I12" s="354">
        <f>fc_competition</f>
        <v>164.68543451652388</v>
      </c>
      <c r="J12" s="338" t="s">
        <v>132</v>
      </c>
      <c r="K12" s="317" t="s">
        <v>127</v>
      </c>
      <c r="L12" s="312" t="str">
        <f>al_marathon</f>
        <v>00:04:45</v>
      </c>
      <c r="M12" s="354">
        <f>fc_competition</f>
        <v>164.68543451652388</v>
      </c>
      <c r="N12" s="338" t="s">
        <v>132</v>
      </c>
      <c r="O12" s="317" t="s">
        <v>162</v>
      </c>
      <c r="P12" s="312" t="str">
        <f>al_marathon</f>
        <v>00:04:45</v>
      </c>
      <c r="Q12" s="316">
        <f>fc_competition</f>
        <v>164.68543451652388</v>
      </c>
      <c r="R12" s="12"/>
    </row>
    <row r="13" spans="2:22" ht="33.950000000000003" customHeight="1" x14ac:dyDescent="0.2">
      <c r="B13" s="341" t="s">
        <v>133</v>
      </c>
      <c r="C13" s="324" t="s">
        <v>163</v>
      </c>
      <c r="D13" s="325">
        <f>cat_test_3/K_test/68%</f>
        <v>4.2551742919389977E-3</v>
      </c>
      <c r="E13" s="356">
        <f>fc_repos+(z_travail*0.68)</f>
        <v>136.48000000000002</v>
      </c>
      <c r="F13" s="341" t="s">
        <v>133</v>
      </c>
      <c r="G13" s="324" t="s">
        <v>169</v>
      </c>
      <c r="H13" s="325">
        <f>cat_test_3/K_test/68%</f>
        <v>4.2551742919389977E-3</v>
      </c>
      <c r="I13" s="356">
        <f>fc_repos+(z_travail*0.68)</f>
        <v>136.48000000000002</v>
      </c>
      <c r="J13" s="341" t="s">
        <v>133</v>
      </c>
      <c r="K13" s="324" t="s">
        <v>167</v>
      </c>
      <c r="L13" s="325">
        <f>cat_test_3/K_test/68%</f>
        <v>4.2551742919389977E-3</v>
      </c>
      <c r="M13" s="356">
        <f>fc_repos+(z_travail*0.68)</f>
        <v>136.48000000000002</v>
      </c>
      <c r="N13" s="341" t="s">
        <v>133</v>
      </c>
      <c r="O13" s="324" t="s">
        <v>168</v>
      </c>
      <c r="P13" s="325">
        <f>cat_test_3/K_test/68%</f>
        <v>4.2551742919389977E-3</v>
      </c>
      <c r="Q13" s="331">
        <f>fc_repos+(z_travail*0.68)</f>
        <v>136.48000000000002</v>
      </c>
      <c r="R13" s="12"/>
    </row>
    <row r="14" spans="2:22" ht="21.75" customHeight="1" x14ac:dyDescent="0.2">
      <c r="B14" s="12"/>
      <c r="C14" s="275"/>
      <c r="D14" s="12"/>
      <c r="E14" s="276"/>
      <c r="F14" s="12"/>
      <c r="G14" s="275"/>
      <c r="H14" s="12"/>
      <c r="I14" s="276"/>
      <c r="J14" s="12"/>
      <c r="K14" s="275"/>
      <c r="L14" s="12"/>
      <c r="M14" s="276"/>
      <c r="N14" s="12"/>
      <c r="O14" s="275"/>
      <c r="P14" s="12"/>
      <c r="Q14" s="276"/>
      <c r="R14" s="12"/>
    </row>
    <row r="15" spans="2:22" ht="22.5" customHeight="1" x14ac:dyDescent="0.2">
      <c r="B15" s="303" t="s">
        <v>115</v>
      </c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12"/>
    </row>
    <row r="16" spans="2:22" s="29" customFormat="1" ht="8.25" customHeight="1" x14ac:dyDescent="0.2"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9"/>
    </row>
    <row r="17" spans="2:18" ht="33.950000000000003" customHeight="1" thickBot="1" x14ac:dyDescent="0.25">
      <c r="B17" s="122"/>
      <c r="C17" s="123" t="e">
        <f>"week van "&amp;TEXT(mdate-55,"dd/mm")&amp;" tot "&amp;TEXT(mdate-49,"dd/mm")</f>
        <v>#VALUE!</v>
      </c>
      <c r="D17" s="125"/>
      <c r="E17" s="136"/>
      <c r="F17" s="122"/>
      <c r="G17" s="123" t="e">
        <f>"week van "&amp;TEXT(mdate-48,"dd/mm")&amp;" tot "&amp;TEXT(mdate-42,"dd/mm")</f>
        <v>#VALUE!</v>
      </c>
      <c r="H17" s="125"/>
      <c r="I17" s="136"/>
      <c r="J17" s="122"/>
      <c r="K17" s="123" t="e">
        <f>"week van "&amp;TEXT(mdate-41,"dd/mm")&amp;" tot "&amp;TEXT(mdate-35,"dd/mm")</f>
        <v>#VALUE!</v>
      </c>
      <c r="L17" s="127"/>
      <c r="M17" s="136"/>
      <c r="N17" s="122"/>
      <c r="O17" s="123" t="e">
        <f>"week van "&amp;TEXT(mdate-34,"dd/mm")&amp;" tot "&amp;TEXT(mdate-28,"dd/mm")</f>
        <v>#VALUE!</v>
      </c>
      <c r="P17" s="127"/>
      <c r="Q17" s="128"/>
      <c r="R17" s="12"/>
    </row>
    <row r="18" spans="2:18" ht="33.950000000000003" customHeight="1" x14ac:dyDescent="0.2">
      <c r="B18" s="349" t="s">
        <v>135</v>
      </c>
      <c r="C18" s="357" t="s">
        <v>113</v>
      </c>
      <c r="D18" s="351"/>
      <c r="E18" s="352"/>
      <c r="F18" s="349" t="s">
        <v>135</v>
      </c>
      <c r="G18" s="357" t="s">
        <v>113</v>
      </c>
      <c r="H18" s="351"/>
      <c r="I18" s="352"/>
      <c r="J18" s="349" t="s">
        <v>135</v>
      </c>
      <c r="K18" s="357" t="s">
        <v>113</v>
      </c>
      <c r="L18" s="351"/>
      <c r="M18" s="352"/>
      <c r="N18" s="349" t="s">
        <v>135</v>
      </c>
      <c r="O18" s="357" t="s">
        <v>113</v>
      </c>
      <c r="P18" s="351"/>
      <c r="Q18" s="353"/>
      <c r="R18" s="12"/>
    </row>
    <row r="19" spans="2:18" ht="39.75" customHeight="1" x14ac:dyDescent="0.2">
      <c r="B19" s="338" t="s">
        <v>134</v>
      </c>
      <c r="C19" s="318" t="s">
        <v>137</v>
      </c>
      <c r="D19" s="319">
        <f>cat_vitesse*95%*80</f>
        <v>304</v>
      </c>
      <c r="E19" s="354">
        <f>fc_repos+(z_travail*0.88)</f>
        <v>163.68</v>
      </c>
      <c r="F19" s="338" t="s">
        <v>134</v>
      </c>
      <c r="G19" s="315" t="s">
        <v>196</v>
      </c>
      <c r="H19" s="312">
        <f>cat_test_3/K_test/99%/1000*900</f>
        <v>2.6304713804713806E-3</v>
      </c>
      <c r="I19" s="354">
        <f>fc_repos+(z_travail*0.89)</f>
        <v>165.04000000000002</v>
      </c>
      <c r="J19" s="338" t="s">
        <v>134</v>
      </c>
      <c r="K19" s="317" t="s">
        <v>136</v>
      </c>
      <c r="L19" s="312" t="str">
        <f>al_marathon</f>
        <v>00:04:45</v>
      </c>
      <c r="M19" s="354">
        <f>fc_competition</f>
        <v>164.68543451652388</v>
      </c>
      <c r="N19" s="338" t="s">
        <v>134</v>
      </c>
      <c r="O19" s="318" t="s">
        <v>138</v>
      </c>
      <c r="P19" s="319">
        <f>cat_vitesse*40</f>
        <v>160</v>
      </c>
      <c r="Q19" s="316">
        <f>fc_repos+(z_travail*0.9)</f>
        <v>166.4</v>
      </c>
      <c r="R19" s="12"/>
    </row>
    <row r="20" spans="2:18" ht="33.950000000000003" customHeight="1" x14ac:dyDescent="0.2">
      <c r="B20" s="338" t="s">
        <v>129</v>
      </c>
      <c r="C20" s="321" t="s">
        <v>113</v>
      </c>
      <c r="D20" s="319"/>
      <c r="E20" s="354"/>
      <c r="F20" s="338" t="s">
        <v>129</v>
      </c>
      <c r="G20" s="321" t="s">
        <v>113</v>
      </c>
      <c r="H20" s="312"/>
      <c r="I20" s="354"/>
      <c r="J20" s="338" t="s">
        <v>129</v>
      </c>
      <c r="K20" s="321" t="s">
        <v>113</v>
      </c>
      <c r="L20" s="319"/>
      <c r="M20" s="354"/>
      <c r="N20" s="338" t="s">
        <v>129</v>
      </c>
      <c r="O20" s="321" t="s">
        <v>113</v>
      </c>
      <c r="P20" s="312"/>
      <c r="Q20" s="316"/>
      <c r="R20" s="12"/>
    </row>
    <row r="21" spans="2:18" ht="33.950000000000003" customHeight="1" x14ac:dyDescent="0.2">
      <c r="B21" s="338" t="s">
        <v>130</v>
      </c>
      <c r="C21" s="311" t="s">
        <v>119</v>
      </c>
      <c r="D21" s="312">
        <f>cat_test_3/K_test/78%</f>
        <v>3.7096391263057933E-3</v>
      </c>
      <c r="E21" s="354">
        <f>fc_repos+(z_travail*0.76)</f>
        <v>147.36000000000001</v>
      </c>
      <c r="F21" s="338" t="s">
        <v>130</v>
      </c>
      <c r="G21" s="311" t="s">
        <v>116</v>
      </c>
      <c r="H21" s="312">
        <f>cat_test_3/K_test/78%</f>
        <v>3.7096391263057933E-3</v>
      </c>
      <c r="I21" s="354">
        <f>fc_repos+(z_travail*0.76)</f>
        <v>147.36000000000001</v>
      </c>
      <c r="J21" s="338" t="s">
        <v>130</v>
      </c>
      <c r="K21" s="320" t="s">
        <v>170</v>
      </c>
      <c r="L21" s="312">
        <f>cat_test_3/K_test/68%</f>
        <v>4.2551742919389977E-3</v>
      </c>
      <c r="M21" s="354">
        <f>fc_repos+(z_travail*0.68)</f>
        <v>136.48000000000002</v>
      </c>
      <c r="N21" s="338" t="s">
        <v>130</v>
      </c>
      <c r="O21" s="311" t="s">
        <v>119</v>
      </c>
      <c r="P21" s="312">
        <f>cat_test_3/K_test/78%</f>
        <v>3.7096391263057933E-3</v>
      </c>
      <c r="Q21" s="316">
        <f>fc_repos+(z_travail*0.76)</f>
        <v>147.36000000000001</v>
      </c>
      <c r="R21" s="12"/>
    </row>
    <row r="22" spans="2:18" ht="33.950000000000003" customHeight="1" x14ac:dyDescent="0.2">
      <c r="B22" s="338" t="s">
        <v>131</v>
      </c>
      <c r="C22" s="321" t="s">
        <v>113</v>
      </c>
      <c r="D22" s="312"/>
      <c r="E22" s="354"/>
      <c r="F22" s="338" t="s">
        <v>131</v>
      </c>
      <c r="G22" s="321" t="s">
        <v>113</v>
      </c>
      <c r="H22" s="312"/>
      <c r="I22" s="354"/>
      <c r="J22" s="338" t="s">
        <v>131</v>
      </c>
      <c r="K22" s="321" t="s">
        <v>113</v>
      </c>
      <c r="L22" s="312"/>
      <c r="M22" s="354"/>
      <c r="N22" s="338" t="s">
        <v>131</v>
      </c>
      <c r="O22" s="321" t="s">
        <v>113</v>
      </c>
      <c r="P22" s="312"/>
      <c r="Q22" s="316"/>
      <c r="R22" s="12"/>
    </row>
    <row r="23" spans="2:18" ht="39.75" customHeight="1" x14ac:dyDescent="0.2">
      <c r="B23" s="338" t="s">
        <v>132</v>
      </c>
      <c r="C23" s="317" t="s">
        <v>140</v>
      </c>
      <c r="D23" s="312" t="str">
        <f>al_marathon</f>
        <v>00:04:45</v>
      </c>
      <c r="E23" s="354">
        <f>fc_competition</f>
        <v>164.68543451652388</v>
      </c>
      <c r="F23" s="338" t="s">
        <v>132</v>
      </c>
      <c r="G23" s="317" t="s">
        <v>171</v>
      </c>
      <c r="H23" s="312" t="str">
        <f>al_marathon</f>
        <v>00:04:45</v>
      </c>
      <c r="I23" s="354">
        <f>fc_competition</f>
        <v>164.68543451652388</v>
      </c>
      <c r="J23" s="338" t="s">
        <v>132</v>
      </c>
      <c r="K23" s="322" t="s">
        <v>142</v>
      </c>
      <c r="L23" s="312">
        <f>cat_test_3/K_test/68%</f>
        <v>4.2551742919389977E-3</v>
      </c>
      <c r="M23" s="354">
        <f>fc_repos+(z_travail*0.68)</f>
        <v>136.48000000000002</v>
      </c>
      <c r="N23" s="338" t="s">
        <v>132</v>
      </c>
      <c r="O23" s="317" t="s">
        <v>172</v>
      </c>
      <c r="P23" s="312" t="str">
        <f>al_marathon</f>
        <v>00:04:45</v>
      </c>
      <c r="Q23" s="316">
        <f>fc_competition</f>
        <v>164.68543451652388</v>
      </c>
      <c r="R23" s="12"/>
    </row>
    <row r="24" spans="2:18" ht="33.950000000000003" customHeight="1" x14ac:dyDescent="0.2">
      <c r="B24" s="341" t="s">
        <v>133</v>
      </c>
      <c r="C24" s="324" t="s">
        <v>144</v>
      </c>
      <c r="D24" s="325">
        <f>cat_test_3/K_test/68%</f>
        <v>4.2551742919389977E-3</v>
      </c>
      <c r="E24" s="356">
        <f>fc_repos+(z_travail*0.68)</f>
        <v>136.48000000000002</v>
      </c>
      <c r="F24" s="341" t="s">
        <v>133</v>
      </c>
      <c r="G24" s="324" t="s">
        <v>173</v>
      </c>
      <c r="H24" s="325">
        <f>cat_test_3/K_test/68%</f>
        <v>4.2551742919389977E-3</v>
      </c>
      <c r="I24" s="356">
        <f>fc_repos+(z_travail*0.68)</f>
        <v>136.48000000000002</v>
      </c>
      <c r="J24" s="341" t="s">
        <v>133</v>
      </c>
      <c r="K24" s="328" t="s">
        <v>174</v>
      </c>
      <c r="L24" s="329">
        <f>al_marathon*10</f>
        <v>3.2986111111111112E-2</v>
      </c>
      <c r="M24" s="358">
        <f>fc_competition</f>
        <v>164.68543451652388</v>
      </c>
      <c r="N24" s="341" t="s">
        <v>133</v>
      </c>
      <c r="O24" s="324" t="s">
        <v>175</v>
      </c>
      <c r="P24" s="325">
        <f>cat_test_3/K_test/68%</f>
        <v>4.2551742919389977E-3</v>
      </c>
      <c r="Q24" s="331">
        <f>fc_repos+(z_travail*0.68)</f>
        <v>136.48000000000002</v>
      </c>
      <c r="R24" s="12"/>
    </row>
    <row r="25" spans="2:18" ht="21.75" customHeight="1" x14ac:dyDescent="0.2">
      <c r="B25" s="12"/>
      <c r="C25" s="275"/>
      <c r="D25" s="12"/>
      <c r="E25" s="276"/>
      <c r="F25" s="12"/>
      <c r="G25" s="275"/>
      <c r="H25" s="12"/>
      <c r="I25" s="276"/>
      <c r="J25" s="12"/>
      <c r="K25" s="275"/>
      <c r="L25" s="12"/>
      <c r="M25" s="276"/>
      <c r="N25" s="12"/>
      <c r="O25" s="275"/>
      <c r="P25" s="12"/>
      <c r="Q25" s="276"/>
      <c r="R25" s="12"/>
    </row>
    <row r="26" spans="2:18" ht="23.25" customHeight="1" x14ac:dyDescent="0.2">
      <c r="B26" s="303" t="s">
        <v>114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12"/>
    </row>
    <row r="27" spans="2:18" s="29" customFormat="1" ht="8.25" customHeight="1" x14ac:dyDescent="0.2"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9"/>
    </row>
    <row r="28" spans="2:18" ht="33.950000000000003" customHeight="1" thickBot="1" x14ac:dyDescent="0.25">
      <c r="B28" s="117"/>
      <c r="C28" s="118" t="e">
        <f>"week van "&amp;TEXT(mdate-27,"dd/mm")&amp;" tot "&amp;TEXT(mdate-21,"dd/mm")</f>
        <v>#VALUE!</v>
      </c>
      <c r="D28" s="120"/>
      <c r="E28" s="119"/>
      <c r="F28" s="117"/>
      <c r="G28" s="118" t="e">
        <f>"week van "&amp;TEXT(mdate-20,"dd/mm")&amp;" tot "&amp;TEXT(mdate-14,"dd/mm")</f>
        <v>#VALUE!</v>
      </c>
      <c r="H28" s="120"/>
      <c r="I28" s="119"/>
      <c r="J28" s="117"/>
      <c r="K28" s="118" t="e">
        <f>"week van "&amp;TEXT(mdate-13,"dd/mm")&amp;" tot "&amp;TEXT(mdate-7,"dd/mm")</f>
        <v>#VALUE!</v>
      </c>
      <c r="L28" s="137"/>
      <c r="M28" s="119"/>
      <c r="N28" s="117"/>
      <c r="O28" s="118" t="e">
        <f>"week van "&amp;TEXT(mdate-6,"dd/mm")&amp;" tot "&amp;TEXT(mdate,"dd/mm")</f>
        <v>#VALUE!</v>
      </c>
      <c r="P28" s="138"/>
      <c r="Q28" s="121"/>
      <c r="R28" s="12"/>
    </row>
    <row r="29" spans="2:18" ht="33.950000000000003" customHeight="1" x14ac:dyDescent="0.2">
      <c r="B29" s="349" t="s">
        <v>135</v>
      </c>
      <c r="C29" s="357" t="s">
        <v>113</v>
      </c>
      <c r="D29" s="351"/>
      <c r="E29" s="352"/>
      <c r="F29" s="349" t="s">
        <v>135</v>
      </c>
      <c r="G29" s="350" t="s">
        <v>113</v>
      </c>
      <c r="H29" s="351"/>
      <c r="I29" s="352"/>
      <c r="J29" s="349" t="s">
        <v>135</v>
      </c>
      <c r="K29" s="350" t="s">
        <v>113</v>
      </c>
      <c r="L29" s="351"/>
      <c r="M29" s="352"/>
      <c r="N29" s="349" t="s">
        <v>135</v>
      </c>
      <c r="O29" s="350" t="s">
        <v>113</v>
      </c>
      <c r="P29" s="359"/>
      <c r="Q29" s="360"/>
      <c r="R29" s="12"/>
    </row>
    <row r="30" spans="2:18" ht="39.75" customHeight="1" x14ac:dyDescent="0.2">
      <c r="B30" s="349" t="s">
        <v>134</v>
      </c>
      <c r="C30" s="361" t="s">
        <v>177</v>
      </c>
      <c r="D30" s="351" t="str">
        <f>al_marathon</f>
        <v>00:04:45</v>
      </c>
      <c r="E30" s="352">
        <f>fc_competition</f>
        <v>164.68543451652388</v>
      </c>
      <c r="F30" s="349" t="s">
        <v>134</v>
      </c>
      <c r="G30" s="362" t="s">
        <v>194</v>
      </c>
      <c r="H30" s="351">
        <f>cat_test_3/K_test/98%/1000*1200</f>
        <v>3.5430839002267575E-3</v>
      </c>
      <c r="I30" s="352">
        <f>fc_repos+(z_travail*0.88)</f>
        <v>163.68</v>
      </c>
      <c r="J30" s="349" t="s">
        <v>134</v>
      </c>
      <c r="K30" s="363" t="s">
        <v>178</v>
      </c>
      <c r="L30" s="364">
        <f>cat_vitesse*95%*60</f>
        <v>228</v>
      </c>
      <c r="M30" s="352">
        <f>fc_repos+(z_travail*0.88)</f>
        <v>163.68</v>
      </c>
      <c r="N30" s="349" t="s">
        <v>134</v>
      </c>
      <c r="O30" s="362" t="s">
        <v>195</v>
      </c>
      <c r="P30" s="359">
        <f>cat_test_3/K_test/105%/1000*400</f>
        <v>1.1022927689594358E-3</v>
      </c>
      <c r="Q30" s="365">
        <f>fc_repos+(z_travail*0.92)</f>
        <v>169.12</v>
      </c>
      <c r="R30" s="279"/>
    </row>
    <row r="31" spans="2:18" ht="33.950000000000003" customHeight="1" x14ac:dyDescent="0.2">
      <c r="B31" s="338" t="s">
        <v>129</v>
      </c>
      <c r="C31" s="321" t="s">
        <v>113</v>
      </c>
      <c r="D31" s="312"/>
      <c r="E31" s="354"/>
      <c r="F31" s="338" t="s">
        <v>129</v>
      </c>
      <c r="G31" s="355" t="s">
        <v>113</v>
      </c>
      <c r="H31" s="312"/>
      <c r="I31" s="354"/>
      <c r="J31" s="338" t="s">
        <v>129</v>
      </c>
      <c r="K31" s="355" t="s">
        <v>113</v>
      </c>
      <c r="L31" s="312"/>
      <c r="M31" s="354"/>
      <c r="N31" s="338" t="s">
        <v>129</v>
      </c>
      <c r="O31" s="355" t="s">
        <v>113</v>
      </c>
      <c r="P31" s="366"/>
      <c r="Q31" s="316"/>
      <c r="R31" s="279"/>
    </row>
    <row r="32" spans="2:18" ht="33.950000000000003" customHeight="1" x14ac:dyDescent="0.2">
      <c r="B32" s="338" t="s">
        <v>130</v>
      </c>
      <c r="C32" s="311" t="s">
        <v>116</v>
      </c>
      <c r="D32" s="312">
        <f>cat_test_3/K_test/78%</f>
        <v>3.7096391263057933E-3</v>
      </c>
      <c r="E32" s="354">
        <f>fc_repos+(z_travail*0.76)</f>
        <v>147.36000000000001</v>
      </c>
      <c r="F32" s="338" t="s">
        <v>130</v>
      </c>
      <c r="G32" s="311" t="s">
        <v>120</v>
      </c>
      <c r="H32" s="312">
        <f>cat_test_3/K_test/78%</f>
        <v>3.7096391263057933E-3</v>
      </c>
      <c r="I32" s="354">
        <f>fc_repos+(z_travail*0.76)</f>
        <v>147.36000000000001</v>
      </c>
      <c r="J32" s="338" t="s">
        <v>130</v>
      </c>
      <c r="K32" s="311" t="s">
        <v>116</v>
      </c>
      <c r="L32" s="312">
        <f>cat_test_3/K_test/78%</f>
        <v>3.7096391263057933E-3</v>
      </c>
      <c r="M32" s="354">
        <f>fc_repos+(z_travail*0.76)</f>
        <v>147.36000000000001</v>
      </c>
      <c r="N32" s="338" t="s">
        <v>130</v>
      </c>
      <c r="O32" s="320" t="s">
        <v>176</v>
      </c>
      <c r="P32" s="366">
        <f>cat_test_3/K_test/68%</f>
        <v>4.2551742919389977E-3</v>
      </c>
      <c r="Q32" s="316">
        <f>fc_repos+(z_travail*0.68)</f>
        <v>136.48000000000002</v>
      </c>
      <c r="R32" s="279"/>
    </row>
    <row r="33" spans="2:18" ht="33.950000000000003" customHeight="1" x14ac:dyDescent="0.2">
      <c r="B33" s="338" t="s">
        <v>131</v>
      </c>
      <c r="C33" s="321" t="s">
        <v>113</v>
      </c>
      <c r="D33" s="312"/>
      <c r="E33" s="354"/>
      <c r="F33" s="338" t="s">
        <v>131</v>
      </c>
      <c r="G33" s="355" t="s">
        <v>113</v>
      </c>
      <c r="H33" s="312"/>
      <c r="I33" s="354"/>
      <c r="J33" s="338" t="s">
        <v>131</v>
      </c>
      <c r="K33" s="355" t="s">
        <v>113</v>
      </c>
      <c r="L33" s="312"/>
      <c r="M33" s="354"/>
      <c r="N33" s="338" t="s">
        <v>131</v>
      </c>
      <c r="O33" s="355" t="s">
        <v>113</v>
      </c>
      <c r="P33" s="366"/>
      <c r="Q33" s="316"/>
      <c r="R33" s="279"/>
    </row>
    <row r="34" spans="2:18" ht="39" customHeight="1" x14ac:dyDescent="0.2">
      <c r="B34" s="338" t="s">
        <v>132</v>
      </c>
      <c r="C34" s="322" t="s">
        <v>142</v>
      </c>
      <c r="D34" s="312">
        <f>cat_test_3/K_test/68%</f>
        <v>4.2551742919389977E-3</v>
      </c>
      <c r="E34" s="354">
        <f>fc_repos+(z_travail*0.68)</f>
        <v>136.48000000000002</v>
      </c>
      <c r="F34" s="338" t="s">
        <v>132</v>
      </c>
      <c r="G34" s="317" t="s">
        <v>179</v>
      </c>
      <c r="H34" s="312" t="str">
        <f>al_marathon</f>
        <v>00:04:45</v>
      </c>
      <c r="I34" s="354">
        <f>fc_competition</f>
        <v>164.68543451652388</v>
      </c>
      <c r="J34" s="338" t="s">
        <v>132</v>
      </c>
      <c r="K34" s="317" t="s">
        <v>157</v>
      </c>
      <c r="L34" s="312" t="str">
        <f>al_marathon</f>
        <v>00:04:45</v>
      </c>
      <c r="M34" s="354">
        <f>fc_competition</f>
        <v>164.68543451652388</v>
      </c>
      <c r="N34" s="338" t="s">
        <v>132</v>
      </c>
      <c r="O34" s="322" t="s">
        <v>180</v>
      </c>
      <c r="P34" s="366">
        <f>cat_test_3/K_test/68%</f>
        <v>4.2551742919389977E-3</v>
      </c>
      <c r="Q34" s="316">
        <f>fc_repos+(z_travail*0.68)</f>
        <v>136.48000000000002</v>
      </c>
      <c r="R34" s="279"/>
    </row>
    <row r="35" spans="2:18" ht="33.950000000000003" customHeight="1" x14ac:dyDescent="0.2">
      <c r="B35" s="341" t="s">
        <v>133</v>
      </c>
      <c r="C35" s="328" t="s">
        <v>181</v>
      </c>
      <c r="D35" s="329">
        <f>al_marathon*15</f>
        <v>4.9479166666666664E-2</v>
      </c>
      <c r="E35" s="358">
        <f>fc_competition</f>
        <v>164.68543451652388</v>
      </c>
      <c r="F35" s="341" t="s">
        <v>133</v>
      </c>
      <c r="G35" s="324" t="s">
        <v>182</v>
      </c>
      <c r="H35" s="325">
        <f>cat_test_3/K_test/68%</f>
        <v>4.2551742919389977E-3</v>
      </c>
      <c r="I35" s="356">
        <f>fc_repos+(z_travail*0.68)</f>
        <v>136.48000000000002</v>
      </c>
      <c r="J35" s="341" t="s">
        <v>133</v>
      </c>
      <c r="K35" s="324" t="s">
        <v>183</v>
      </c>
      <c r="L35" s="325">
        <f>cat_test_3/K_test/68%</f>
        <v>4.2551742919389977E-3</v>
      </c>
      <c r="M35" s="356">
        <f>fc_repos+(z_travail*0.68)</f>
        <v>136.48000000000002</v>
      </c>
      <c r="N35" s="341" t="s">
        <v>133</v>
      </c>
      <c r="O35" s="367" t="s">
        <v>184</v>
      </c>
      <c r="P35" s="368">
        <f>objectif</f>
        <v>6.5972222222222224E-2</v>
      </c>
      <c r="Q35" s="348">
        <f>fc_competition</f>
        <v>164.68543451652388</v>
      </c>
      <c r="R35" s="279"/>
    </row>
    <row r="36" spans="2:18" ht="33.950000000000003" customHeight="1" x14ac:dyDescent="0.2">
      <c r="B36" s="12"/>
      <c r="C36" s="275"/>
      <c r="D36" s="12"/>
      <c r="E36" s="276"/>
      <c r="F36" s="12"/>
      <c r="G36" s="275"/>
      <c r="H36" s="12"/>
      <c r="I36" s="276"/>
      <c r="J36" s="12"/>
      <c r="K36" s="275"/>
      <c r="L36" s="12"/>
      <c r="M36" s="276"/>
      <c r="N36" s="12"/>
      <c r="O36" s="275"/>
      <c r="P36" s="12"/>
      <c r="Q36" s="302"/>
      <c r="R36" s="279"/>
    </row>
  </sheetData>
  <sheetProtection password="F7AF" sheet="1" objects="1" scenarios="1"/>
  <mergeCells count="4">
    <mergeCell ref="B4:Q4"/>
    <mergeCell ref="B15:Q15"/>
    <mergeCell ref="B26:Q26"/>
    <mergeCell ref="B2:L2"/>
  </mergeCells>
  <phoneticPr fontId="0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firstPageNumber="0" orientation="landscape" horizontalDpi="300" verticalDpi="300" r:id="rId1"/>
  <headerFooter alignWithMargins="0"/>
  <drawing r:id="rId2"/>
  <legacyDrawing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7"/>
  </sheetPr>
  <dimension ref="B1:S36"/>
  <sheetViews>
    <sheetView showGridLines="0" zoomScaleNormal="100" workbookViewId="0">
      <selection activeCell="T2" sqref="T2"/>
    </sheetView>
  </sheetViews>
  <sheetFormatPr baseColWidth="10" defaultRowHeight="33.950000000000003" customHeight="1" x14ac:dyDescent="0.2"/>
  <cols>
    <col min="1" max="1" width="2.85546875" customWidth="1"/>
    <col min="2" max="2" width="6.7109375" customWidth="1"/>
    <col min="3" max="3" width="17" style="14" customWidth="1"/>
    <col min="4" max="4" width="7.7109375" customWidth="1"/>
    <col min="5" max="5" width="4.42578125" style="15" customWidth="1"/>
    <col min="6" max="6" width="6.7109375" customWidth="1"/>
    <col min="7" max="7" width="16.42578125" style="14" customWidth="1"/>
    <col min="8" max="8" width="7.7109375" customWidth="1"/>
    <col min="9" max="9" width="4.42578125" style="15" customWidth="1"/>
    <col min="10" max="10" width="6.7109375" customWidth="1"/>
    <col min="11" max="11" width="16.42578125" style="14" customWidth="1"/>
    <col min="12" max="12" width="7.7109375" customWidth="1"/>
    <col min="13" max="13" width="4.42578125" style="15" customWidth="1"/>
    <col min="14" max="14" width="6.7109375" customWidth="1"/>
    <col min="15" max="15" width="16.42578125" style="14" customWidth="1"/>
    <col min="16" max="16" width="7.7109375" customWidth="1"/>
    <col min="17" max="17" width="4.42578125" style="15" customWidth="1"/>
  </cols>
  <sheetData>
    <row r="1" spans="2:19" ht="20.25" customHeight="1" x14ac:dyDescent="0.2"/>
    <row r="2" spans="2:19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74"/>
      <c r="O2" s="274"/>
      <c r="P2" s="274"/>
      <c r="Q2" s="274"/>
      <c r="R2" s="274"/>
    </row>
    <row r="3" spans="2:19" ht="33.950000000000003" customHeight="1" x14ac:dyDescent="0.2">
      <c r="B3" s="12"/>
      <c r="C3" s="369"/>
      <c r="D3" s="370"/>
      <c r="E3" s="276"/>
      <c r="F3" s="12"/>
      <c r="G3" s="275"/>
      <c r="H3" s="12"/>
      <c r="I3" s="276"/>
      <c r="J3" s="12"/>
      <c r="K3" s="275"/>
      <c r="L3" s="12"/>
      <c r="M3" s="276"/>
      <c r="N3" s="12"/>
      <c r="O3" s="275"/>
      <c r="P3" s="12"/>
      <c r="Q3" s="276"/>
      <c r="R3" s="12"/>
    </row>
    <row r="4" spans="2:19" ht="23.25" customHeight="1" x14ac:dyDescent="0.2">
      <c r="B4" s="303" t="s">
        <v>104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277" t="s">
        <v>259</v>
      </c>
    </row>
    <row r="5" spans="2:19" s="29" customFormat="1" ht="8.25" customHeight="1" x14ac:dyDescent="0.2"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9"/>
    </row>
    <row r="6" spans="2:19" ht="33.950000000000003" customHeight="1" thickBot="1" x14ac:dyDescent="0.25">
      <c r="B6" s="117"/>
      <c r="C6" s="118" t="e">
        <f>"week van "&amp;TEXT(mdate-83,"dd/mm")&amp;" tot "&amp;TEXT(mdate-77,"dd/mm")</f>
        <v>#VALUE!</v>
      </c>
      <c r="D6" s="118" t="s">
        <v>159</v>
      </c>
      <c r="E6" s="139" t="s">
        <v>122</v>
      </c>
      <c r="F6" s="140"/>
      <c r="G6" s="118" t="e">
        <f>"week van "&amp;TEXT(mdate-76,"dd/mm")&amp;" tot "&amp;TEXT(mdate-70,"dd/mm")</f>
        <v>#VALUE!</v>
      </c>
      <c r="H6" s="120" t="s">
        <v>159</v>
      </c>
      <c r="I6" s="139" t="s">
        <v>122</v>
      </c>
      <c r="J6" s="140"/>
      <c r="K6" s="118" t="e">
        <f>"week van "&amp;TEXT(mdate-69,"dd/mm")&amp;" tot "&amp;TEXT(mdate-63,"dd/mm")</f>
        <v>#VALUE!</v>
      </c>
      <c r="L6" s="118" t="s">
        <v>159</v>
      </c>
      <c r="M6" s="139" t="s">
        <v>122</v>
      </c>
      <c r="N6" s="140"/>
      <c r="O6" s="118" t="e">
        <f>"week van "&amp;TEXT(mdate-62,"dd/mm")&amp;" tot "&amp;TEXT(mdate-56,"dd/mm")</f>
        <v>#VALUE!</v>
      </c>
      <c r="P6" s="117" t="s">
        <v>159</v>
      </c>
      <c r="Q6" s="121" t="s">
        <v>122</v>
      </c>
      <c r="R6" s="12"/>
    </row>
    <row r="7" spans="2:19" ht="33.950000000000003" customHeight="1" x14ac:dyDescent="0.2">
      <c r="B7" s="371" t="s">
        <v>135</v>
      </c>
      <c r="C7" s="305" t="s">
        <v>113</v>
      </c>
      <c r="D7" s="306"/>
      <c r="E7" s="307"/>
      <c r="F7" s="308" t="s">
        <v>192</v>
      </c>
      <c r="G7" s="305" t="s">
        <v>113</v>
      </c>
      <c r="H7" s="306"/>
      <c r="I7" s="307"/>
      <c r="J7" s="308" t="s">
        <v>135</v>
      </c>
      <c r="K7" s="305" t="s">
        <v>113</v>
      </c>
      <c r="L7" s="306"/>
      <c r="M7" s="307"/>
      <c r="N7" s="308" t="s">
        <v>135</v>
      </c>
      <c r="O7" s="305" t="s">
        <v>113</v>
      </c>
      <c r="P7" s="372"/>
      <c r="Q7" s="309"/>
      <c r="R7" s="12"/>
    </row>
    <row r="8" spans="2:19" ht="33.950000000000003" customHeight="1" x14ac:dyDescent="0.2">
      <c r="B8" s="338" t="s">
        <v>134</v>
      </c>
      <c r="C8" s="320" t="s">
        <v>185</v>
      </c>
      <c r="D8" s="312">
        <f>cat_test_3/K_test/68%</f>
        <v>4.2551742919389977E-3</v>
      </c>
      <c r="E8" s="313">
        <f>fc_repos+(z_travail*0.68)</f>
        <v>136.48000000000002</v>
      </c>
      <c r="F8" s="314" t="s">
        <v>134</v>
      </c>
      <c r="G8" s="318" t="s">
        <v>186</v>
      </c>
      <c r="H8" s="319">
        <f>cat_vitesse*30</f>
        <v>120</v>
      </c>
      <c r="I8" s="313">
        <f>fc_repos+(z_travail*0.9)</f>
        <v>166.4</v>
      </c>
      <c r="J8" s="314" t="s">
        <v>134</v>
      </c>
      <c r="K8" s="311" t="s">
        <v>121</v>
      </c>
      <c r="L8" s="312">
        <f>cat_test_3/K_test/78%</f>
        <v>3.7096391263057933E-3</v>
      </c>
      <c r="M8" s="313">
        <f>fc_repos+(z_travail*0.76)</f>
        <v>147.36000000000001</v>
      </c>
      <c r="N8" s="314" t="s">
        <v>134</v>
      </c>
      <c r="O8" s="318" t="s">
        <v>187</v>
      </c>
      <c r="P8" s="373">
        <f>cat_vitesse*20</f>
        <v>80</v>
      </c>
      <c r="Q8" s="316">
        <f>fc_repos+(z_travail*0.9)</f>
        <v>166.4</v>
      </c>
      <c r="R8" s="12"/>
    </row>
    <row r="9" spans="2:19" ht="33.950000000000003" customHeight="1" x14ac:dyDescent="0.2">
      <c r="B9" s="338" t="s">
        <v>129</v>
      </c>
      <c r="C9" s="321" t="s">
        <v>113</v>
      </c>
      <c r="D9" s="312"/>
      <c r="E9" s="313"/>
      <c r="F9" s="314" t="s">
        <v>129</v>
      </c>
      <c r="G9" s="321" t="s">
        <v>113</v>
      </c>
      <c r="H9" s="312"/>
      <c r="I9" s="313"/>
      <c r="J9" s="314" t="s">
        <v>129</v>
      </c>
      <c r="K9" s="321" t="s">
        <v>113</v>
      </c>
      <c r="L9" s="312"/>
      <c r="M9" s="313"/>
      <c r="N9" s="314" t="s">
        <v>129</v>
      </c>
      <c r="O9" s="321" t="s">
        <v>113</v>
      </c>
      <c r="P9" s="366"/>
      <c r="Q9" s="316"/>
      <c r="R9" s="12"/>
    </row>
    <row r="10" spans="2:19" ht="36.75" customHeight="1" x14ac:dyDescent="0.2">
      <c r="B10" s="338" t="s">
        <v>130</v>
      </c>
      <c r="C10" s="311" t="s">
        <v>116</v>
      </c>
      <c r="D10" s="312">
        <f>cat_test_3/K_test/78%</f>
        <v>3.7096391263057933E-3</v>
      </c>
      <c r="E10" s="313">
        <f>fc_repos+(z_travail*0.76)</f>
        <v>147.36000000000001</v>
      </c>
      <c r="F10" s="314" t="s">
        <v>130</v>
      </c>
      <c r="G10" s="311" t="s">
        <v>116</v>
      </c>
      <c r="H10" s="312">
        <f>cat_test_3/K_test/78%</f>
        <v>3.7096391263057933E-3</v>
      </c>
      <c r="I10" s="313">
        <f>fc_repos+(z_travail*0.76)</f>
        <v>147.36000000000001</v>
      </c>
      <c r="J10" s="314" t="s">
        <v>130</v>
      </c>
      <c r="K10" s="315" t="s">
        <v>193</v>
      </c>
      <c r="L10" s="312">
        <f>cat_test_3/K_test/117%/1000*200</f>
        <v>4.9461855017410576E-4</v>
      </c>
      <c r="M10" s="313">
        <f>fc_repos+(z_travail*0.93)</f>
        <v>170.48000000000002</v>
      </c>
      <c r="N10" s="314" t="s">
        <v>130</v>
      </c>
      <c r="O10" s="311" t="s">
        <v>116</v>
      </c>
      <c r="P10" s="366">
        <f>cat_test_3/K_test/78%</f>
        <v>3.7096391263057933E-3</v>
      </c>
      <c r="Q10" s="316">
        <f>fc_repos+(z_travail*0.76)</f>
        <v>147.36000000000001</v>
      </c>
      <c r="R10" s="12"/>
      <c r="S10" s="80"/>
    </row>
    <row r="11" spans="2:19" ht="33.950000000000003" customHeight="1" x14ac:dyDescent="0.2">
      <c r="B11" s="338" t="s">
        <v>131</v>
      </c>
      <c r="C11" s="321" t="s">
        <v>113</v>
      </c>
      <c r="D11" s="312"/>
      <c r="E11" s="313"/>
      <c r="F11" s="314" t="s">
        <v>131</v>
      </c>
      <c r="G11" s="321" t="s">
        <v>113</v>
      </c>
      <c r="H11" s="312"/>
      <c r="I11" s="313"/>
      <c r="J11" s="314" t="s">
        <v>131</v>
      </c>
      <c r="K11" s="321" t="s">
        <v>113</v>
      </c>
      <c r="L11" s="312"/>
      <c r="M11" s="313"/>
      <c r="N11" s="314" t="s">
        <v>131</v>
      </c>
      <c r="O11" s="321" t="s">
        <v>113</v>
      </c>
      <c r="P11" s="366"/>
      <c r="Q11" s="316"/>
      <c r="R11" s="12"/>
    </row>
    <row r="12" spans="2:19" ht="25.5" customHeight="1" x14ac:dyDescent="0.2">
      <c r="B12" s="338" t="s">
        <v>132</v>
      </c>
      <c r="C12" s="321" t="s">
        <v>113</v>
      </c>
      <c r="D12" s="312"/>
      <c r="E12" s="313"/>
      <c r="F12" s="314" t="s">
        <v>132</v>
      </c>
      <c r="G12" s="321" t="s">
        <v>113</v>
      </c>
      <c r="H12" s="312"/>
      <c r="I12" s="313"/>
      <c r="J12" s="314" t="s">
        <v>132</v>
      </c>
      <c r="K12" s="321" t="s">
        <v>113</v>
      </c>
      <c r="L12" s="312"/>
      <c r="M12" s="313"/>
      <c r="N12" s="314" t="s">
        <v>132</v>
      </c>
      <c r="O12" s="321" t="s">
        <v>113</v>
      </c>
      <c r="P12" s="366"/>
      <c r="Q12" s="316"/>
      <c r="R12" s="12"/>
    </row>
    <row r="13" spans="2:19" ht="45.75" customHeight="1" x14ac:dyDescent="0.2">
      <c r="B13" s="341" t="s">
        <v>133</v>
      </c>
      <c r="C13" s="374" t="s">
        <v>188</v>
      </c>
      <c r="D13" s="325" t="str">
        <f>al_marathon</f>
        <v>00:04:45</v>
      </c>
      <c r="E13" s="326">
        <f>fc_competition</f>
        <v>164.68543451652388</v>
      </c>
      <c r="F13" s="327" t="s">
        <v>133</v>
      </c>
      <c r="G13" s="374" t="s">
        <v>189</v>
      </c>
      <c r="H13" s="325" t="str">
        <f>al_marathon</f>
        <v>00:04:45</v>
      </c>
      <c r="I13" s="326">
        <f>fc_competition</f>
        <v>164.68543451652388</v>
      </c>
      <c r="J13" s="327" t="s">
        <v>133</v>
      </c>
      <c r="K13" s="374" t="s">
        <v>190</v>
      </c>
      <c r="L13" s="325" t="str">
        <f>al_marathon</f>
        <v>00:04:45</v>
      </c>
      <c r="M13" s="326">
        <f>fc_competition</f>
        <v>164.68543451652388</v>
      </c>
      <c r="N13" s="327" t="s">
        <v>133</v>
      </c>
      <c r="O13" s="375" t="s">
        <v>191</v>
      </c>
      <c r="P13" s="376" t="str">
        <f>al_marathon</f>
        <v>00:04:45</v>
      </c>
      <c r="Q13" s="331">
        <f>fc_competition</f>
        <v>164.68543451652388</v>
      </c>
      <c r="R13" s="12"/>
    </row>
    <row r="14" spans="2:19" ht="26.25" customHeight="1" x14ac:dyDescent="0.2">
      <c r="B14" s="12"/>
      <c r="C14" s="275"/>
      <c r="D14" s="12"/>
      <c r="E14" s="276"/>
      <c r="F14" s="12"/>
      <c r="G14" s="275"/>
      <c r="H14" s="12"/>
      <c r="I14" s="276"/>
      <c r="J14" s="12"/>
      <c r="K14" s="275"/>
      <c r="L14" s="12"/>
      <c r="M14" s="276"/>
      <c r="N14" s="12"/>
      <c r="O14" s="275"/>
      <c r="P14" s="12"/>
      <c r="Q14" s="276"/>
      <c r="R14" s="12"/>
    </row>
    <row r="15" spans="2:19" ht="22.5" customHeight="1" x14ac:dyDescent="0.2">
      <c r="B15" s="303" t="s">
        <v>115</v>
      </c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12"/>
    </row>
    <row r="16" spans="2:19" s="29" customFormat="1" ht="8.25" customHeight="1" x14ac:dyDescent="0.2">
      <c r="B16" s="240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240"/>
      <c r="Q16" s="379"/>
      <c r="R16" s="279"/>
    </row>
    <row r="17" spans="2:18" ht="33.950000000000003" customHeight="1" thickBot="1" x14ac:dyDescent="0.25">
      <c r="B17" s="122"/>
      <c r="C17" s="123" t="e">
        <f>"week van "&amp;TEXT(mdate-55,"dd/mm")&amp;" tot "&amp;TEXT(mdate-49,"dd/mm")</f>
        <v>#VALUE!</v>
      </c>
      <c r="D17" s="125"/>
      <c r="E17" s="124"/>
      <c r="F17" s="126"/>
      <c r="G17" s="123" t="e">
        <f>"week van "&amp;TEXT(mdate-48,"dd/mm")&amp;" tot "&amp;TEXT(mdate-42,"dd/mm")</f>
        <v>#VALUE!</v>
      </c>
      <c r="H17" s="125"/>
      <c r="I17" s="124"/>
      <c r="J17" s="126"/>
      <c r="K17" s="123" t="e">
        <f>"week van "&amp;TEXT(mdate-41,"dd/mm")&amp;" tot "&amp;TEXT(mdate-35,"dd/mm")</f>
        <v>#VALUE!</v>
      </c>
      <c r="L17" s="127"/>
      <c r="M17" s="124"/>
      <c r="N17" s="126"/>
      <c r="O17" s="123" t="e">
        <f>"week van "&amp;TEXT(mdate-34,"dd/mm")&amp;" tot "&amp;TEXT(mdate-28,"dd/mm")</f>
        <v>#VALUE!</v>
      </c>
      <c r="P17" s="127"/>
      <c r="Q17" s="128"/>
      <c r="R17" s="12"/>
    </row>
    <row r="18" spans="2:18" ht="33.950000000000003" customHeight="1" x14ac:dyDescent="0.2">
      <c r="B18" s="371" t="s">
        <v>135</v>
      </c>
      <c r="C18" s="305" t="s">
        <v>113</v>
      </c>
      <c r="D18" s="306"/>
      <c r="E18" s="307"/>
      <c r="F18" s="308" t="s">
        <v>135</v>
      </c>
      <c r="G18" s="305" t="s">
        <v>113</v>
      </c>
      <c r="H18" s="380"/>
      <c r="I18" s="381"/>
      <c r="J18" s="308" t="s">
        <v>135</v>
      </c>
      <c r="K18" s="305" t="s">
        <v>113</v>
      </c>
      <c r="L18" s="306"/>
      <c r="M18" s="307"/>
      <c r="N18" s="308" t="s">
        <v>135</v>
      </c>
      <c r="O18" s="305" t="s">
        <v>113</v>
      </c>
      <c r="P18" s="306"/>
      <c r="Q18" s="309"/>
      <c r="R18" s="12"/>
    </row>
    <row r="19" spans="2:18" ht="42" customHeight="1" x14ac:dyDescent="0.2">
      <c r="B19" s="338" t="s">
        <v>134</v>
      </c>
      <c r="C19" s="311" t="s">
        <v>119</v>
      </c>
      <c r="D19" s="312">
        <f>cat_test_3/K_test/78%</f>
        <v>3.7096391263057933E-3</v>
      </c>
      <c r="E19" s="313">
        <f>fc_repos+(z_travail*0.76)</f>
        <v>147.36000000000001</v>
      </c>
      <c r="F19" s="314" t="s">
        <v>134</v>
      </c>
      <c r="G19" s="318" t="s">
        <v>137</v>
      </c>
      <c r="H19" s="319">
        <f>cat_vitesse*95%*80</f>
        <v>304</v>
      </c>
      <c r="I19" s="313">
        <f>fc_repos+(z_travail*0.88)</f>
        <v>163.68</v>
      </c>
      <c r="J19" s="314" t="s">
        <v>134</v>
      </c>
      <c r="K19" s="317" t="s">
        <v>136</v>
      </c>
      <c r="L19" s="312" t="str">
        <f>al_marathon</f>
        <v>00:04:45</v>
      </c>
      <c r="M19" s="313">
        <f>fc_competition</f>
        <v>164.68543451652388</v>
      </c>
      <c r="N19" s="314" t="s">
        <v>134</v>
      </c>
      <c r="O19" s="318" t="s">
        <v>138</v>
      </c>
      <c r="P19" s="319">
        <f>cat_vitesse*40</f>
        <v>160</v>
      </c>
      <c r="Q19" s="316">
        <f>fc_repos+(z_travail*0.9)</f>
        <v>166.4</v>
      </c>
      <c r="R19" s="12"/>
    </row>
    <row r="20" spans="2:18" ht="33.950000000000003" customHeight="1" x14ac:dyDescent="0.2">
      <c r="B20" s="338" t="s">
        <v>129</v>
      </c>
      <c r="C20" s="321" t="s">
        <v>113</v>
      </c>
      <c r="D20" s="312"/>
      <c r="E20" s="313"/>
      <c r="F20" s="314" t="s">
        <v>129</v>
      </c>
      <c r="G20" s="321" t="s">
        <v>113</v>
      </c>
      <c r="H20" s="312"/>
      <c r="I20" s="313"/>
      <c r="J20" s="314" t="s">
        <v>129</v>
      </c>
      <c r="K20" s="321" t="s">
        <v>113</v>
      </c>
      <c r="L20" s="312"/>
      <c r="M20" s="313"/>
      <c r="N20" s="314" t="s">
        <v>129</v>
      </c>
      <c r="O20" s="321" t="s">
        <v>113</v>
      </c>
      <c r="P20" s="312"/>
      <c r="Q20" s="316"/>
      <c r="R20" s="12"/>
    </row>
    <row r="21" spans="2:18" ht="33.950000000000003" customHeight="1" x14ac:dyDescent="0.2">
      <c r="B21" s="338" t="s">
        <v>130</v>
      </c>
      <c r="C21" s="315" t="s">
        <v>196</v>
      </c>
      <c r="D21" s="312">
        <f>cat_test_3/K_test/99%/1000*900</f>
        <v>2.6304713804713806E-3</v>
      </c>
      <c r="E21" s="313">
        <f>fc_repos+(z_travail*0.89)</f>
        <v>165.04000000000002</v>
      </c>
      <c r="F21" s="314" t="s">
        <v>130</v>
      </c>
      <c r="G21" s="311" t="s">
        <v>116</v>
      </c>
      <c r="H21" s="312">
        <f>cat_test_3/K_test/78%</f>
        <v>3.7096391263057933E-3</v>
      </c>
      <c r="I21" s="313">
        <f>fc_repos+(z_travail*0.76)</f>
        <v>147.36000000000001</v>
      </c>
      <c r="J21" s="314" t="s">
        <v>130</v>
      </c>
      <c r="K21" s="320" t="s">
        <v>200</v>
      </c>
      <c r="L21" s="312">
        <f>cat_test_3/K_test/68%</f>
        <v>4.2551742919389977E-3</v>
      </c>
      <c r="M21" s="313">
        <f>fc_repos+(z_travail*0.68)</f>
        <v>136.48000000000002</v>
      </c>
      <c r="N21" s="314" t="s">
        <v>130</v>
      </c>
      <c r="O21" s="311" t="s">
        <v>116</v>
      </c>
      <c r="P21" s="312">
        <f>cat_test_3/K_test/78%</f>
        <v>3.7096391263057933E-3</v>
      </c>
      <c r="Q21" s="316">
        <f>fc_repos+(z_travail*0.76)</f>
        <v>147.36000000000001</v>
      </c>
      <c r="R21" s="12"/>
    </row>
    <row r="22" spans="2:18" ht="33.950000000000003" customHeight="1" x14ac:dyDescent="0.2">
      <c r="B22" s="338" t="s">
        <v>131</v>
      </c>
      <c r="C22" s="321" t="s">
        <v>113</v>
      </c>
      <c r="D22" s="312"/>
      <c r="E22" s="313"/>
      <c r="F22" s="314" t="s">
        <v>131</v>
      </c>
      <c r="G22" s="321" t="s">
        <v>113</v>
      </c>
      <c r="H22" s="312"/>
      <c r="I22" s="313"/>
      <c r="J22" s="314" t="s">
        <v>131</v>
      </c>
      <c r="K22" s="321" t="s">
        <v>113</v>
      </c>
      <c r="L22" s="312"/>
      <c r="M22" s="313"/>
      <c r="N22" s="314" t="s">
        <v>131</v>
      </c>
      <c r="O22" s="321" t="s">
        <v>113</v>
      </c>
      <c r="P22" s="312"/>
      <c r="Q22" s="316"/>
      <c r="R22" s="12"/>
    </row>
    <row r="23" spans="2:18" ht="33.950000000000003" customHeight="1" x14ac:dyDescent="0.2">
      <c r="B23" s="338" t="s">
        <v>132</v>
      </c>
      <c r="C23" s="321" t="s">
        <v>113</v>
      </c>
      <c r="D23" s="312"/>
      <c r="E23" s="313"/>
      <c r="F23" s="314" t="s">
        <v>132</v>
      </c>
      <c r="G23" s="321" t="s">
        <v>113</v>
      </c>
      <c r="H23" s="312"/>
      <c r="I23" s="313"/>
      <c r="J23" s="314" t="s">
        <v>132</v>
      </c>
      <c r="K23" s="321" t="s">
        <v>113</v>
      </c>
      <c r="L23" s="312"/>
      <c r="M23" s="313"/>
      <c r="N23" s="314" t="s">
        <v>132</v>
      </c>
      <c r="O23" s="321" t="s">
        <v>113</v>
      </c>
      <c r="P23" s="312"/>
      <c r="Q23" s="316"/>
      <c r="R23" s="12"/>
    </row>
    <row r="24" spans="2:18" ht="42" customHeight="1" x14ac:dyDescent="0.2">
      <c r="B24" s="341" t="s">
        <v>133</v>
      </c>
      <c r="C24" s="374" t="s">
        <v>201</v>
      </c>
      <c r="D24" s="325" t="str">
        <f>al_marathon</f>
        <v>00:04:45</v>
      </c>
      <c r="E24" s="326">
        <f>fc_competition</f>
        <v>164.68543451652388</v>
      </c>
      <c r="F24" s="327" t="s">
        <v>133</v>
      </c>
      <c r="G24" s="374" t="s">
        <v>202</v>
      </c>
      <c r="H24" s="325" t="str">
        <f>al_marathon</f>
        <v>00:04:45</v>
      </c>
      <c r="I24" s="326">
        <f>fc_competition</f>
        <v>164.68543451652388</v>
      </c>
      <c r="J24" s="327" t="s">
        <v>133</v>
      </c>
      <c r="K24" s="328" t="s">
        <v>203</v>
      </c>
      <c r="L24" s="329">
        <f>vma_obj_km*10/0.885</f>
        <v>3.2433563507009835E-2</v>
      </c>
      <c r="M24" s="330">
        <f>fc_competition</f>
        <v>164.68543451652388</v>
      </c>
      <c r="N24" s="327" t="s">
        <v>133</v>
      </c>
      <c r="O24" s="374" t="s">
        <v>204</v>
      </c>
      <c r="P24" s="325" t="str">
        <f>al_marathon</f>
        <v>00:04:45</v>
      </c>
      <c r="Q24" s="331">
        <f>fc_competition</f>
        <v>164.68543451652388</v>
      </c>
      <c r="R24" s="12"/>
    </row>
    <row r="25" spans="2:18" ht="27.75" customHeight="1" x14ac:dyDescent="0.2">
      <c r="B25" s="382"/>
      <c r="C25" s="382"/>
      <c r="D25" s="383"/>
      <c r="E25" s="384"/>
      <c r="F25" s="382"/>
      <c r="G25" s="382"/>
      <c r="H25" s="385"/>
      <c r="I25" s="384"/>
      <c r="J25" s="382"/>
      <c r="K25" s="386"/>
      <c r="L25" s="385"/>
      <c r="M25" s="384"/>
      <c r="N25" s="382"/>
      <c r="O25" s="275"/>
      <c r="P25" s="12"/>
      <c r="Q25" s="276"/>
      <c r="R25" s="12"/>
    </row>
    <row r="26" spans="2:18" ht="23.25" customHeight="1" x14ac:dyDescent="0.2">
      <c r="B26" s="303" t="s">
        <v>114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12"/>
    </row>
    <row r="27" spans="2:18" s="29" customFormat="1" ht="6.75" customHeight="1" x14ac:dyDescent="0.2"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9"/>
    </row>
    <row r="28" spans="2:18" ht="33.950000000000003" customHeight="1" thickBot="1" x14ac:dyDescent="0.25">
      <c r="B28" s="122"/>
      <c r="C28" s="123" t="e">
        <f>"week van "&amp;TEXT(mdate-27,"dd/mm")&amp;" tot "&amp;TEXT(mdate-21,"dd/mm")</f>
        <v>#VALUE!</v>
      </c>
      <c r="D28" s="125"/>
      <c r="E28" s="124"/>
      <c r="F28" s="126"/>
      <c r="G28" s="123" t="e">
        <f>"week van "&amp;TEXT(mdate-20,"dd/mm")&amp;" tot "&amp;TEXT(mdate-14,"dd/mm")</f>
        <v>#VALUE!</v>
      </c>
      <c r="H28" s="125"/>
      <c r="I28" s="124"/>
      <c r="J28" s="126"/>
      <c r="K28" s="123" t="e">
        <f>"week van "&amp;TEXT(mdate-13,"dd/mm")&amp;" tot "&amp;TEXT(mdate-7,"dd/mm")</f>
        <v>#VALUE!</v>
      </c>
      <c r="L28" s="127"/>
      <c r="M28" s="124"/>
      <c r="N28" s="126"/>
      <c r="O28" s="123" t="e">
        <f>"week van "&amp;TEXT(mdate-6,"dd/mm")&amp;" tot "&amp;TEXT(mdate,"dd/mm")</f>
        <v>#VALUE!</v>
      </c>
      <c r="P28" s="127"/>
      <c r="Q28" s="128"/>
      <c r="R28" s="12"/>
    </row>
    <row r="29" spans="2:18" ht="33.950000000000003" customHeight="1" x14ac:dyDescent="0.2">
      <c r="B29" s="371" t="s">
        <v>135</v>
      </c>
      <c r="C29" s="387" t="s">
        <v>113</v>
      </c>
      <c r="D29" s="306"/>
      <c r="E29" s="307"/>
      <c r="F29" s="308" t="s">
        <v>135</v>
      </c>
      <c r="G29" s="305" t="s">
        <v>113</v>
      </c>
      <c r="H29" s="306"/>
      <c r="I29" s="307"/>
      <c r="J29" s="308" t="s">
        <v>135</v>
      </c>
      <c r="K29" s="305" t="s">
        <v>113</v>
      </c>
      <c r="L29" s="306"/>
      <c r="M29" s="307"/>
      <c r="N29" s="388" t="s">
        <v>135</v>
      </c>
      <c r="O29" s="305" t="s">
        <v>113</v>
      </c>
      <c r="P29" s="306"/>
      <c r="Q29" s="309"/>
      <c r="R29" s="12"/>
    </row>
    <row r="30" spans="2:18" ht="33.950000000000003" customHeight="1" x14ac:dyDescent="0.2">
      <c r="B30" s="338" t="s">
        <v>134</v>
      </c>
      <c r="C30" s="389" t="s">
        <v>113</v>
      </c>
      <c r="D30" s="319"/>
      <c r="E30" s="313"/>
      <c r="F30" s="314" t="s">
        <v>134</v>
      </c>
      <c r="G30" s="311" t="s">
        <v>120</v>
      </c>
      <c r="H30" s="312">
        <f>cat_test_3/K_test/78%</f>
        <v>3.7096391263057933E-3</v>
      </c>
      <c r="I30" s="313">
        <f>fc_repos+(z_travail*0.76)</f>
        <v>147.36000000000001</v>
      </c>
      <c r="J30" s="314" t="s">
        <v>134</v>
      </c>
      <c r="K30" s="318" t="s">
        <v>178</v>
      </c>
      <c r="L30" s="319">
        <f>cat_vitesse*95%*60</f>
        <v>228</v>
      </c>
      <c r="M30" s="313">
        <f>fc_repos+(z_travail*0.88)</f>
        <v>163.68</v>
      </c>
      <c r="N30" s="390" t="s">
        <v>134</v>
      </c>
      <c r="O30" s="321" t="s">
        <v>113</v>
      </c>
      <c r="P30" s="319"/>
      <c r="Q30" s="316"/>
      <c r="R30" s="12"/>
    </row>
    <row r="31" spans="2:18" ht="33.950000000000003" customHeight="1" x14ac:dyDescent="0.2">
      <c r="B31" s="338" t="s">
        <v>129</v>
      </c>
      <c r="C31" s="317" t="s">
        <v>205</v>
      </c>
      <c r="D31" s="312" t="str">
        <f>al_marathon</f>
        <v>00:04:45</v>
      </c>
      <c r="E31" s="313">
        <f>fc_competition</f>
        <v>164.68543451652388</v>
      </c>
      <c r="F31" s="314" t="s">
        <v>129</v>
      </c>
      <c r="G31" s="321" t="s">
        <v>113</v>
      </c>
      <c r="H31" s="312"/>
      <c r="I31" s="313"/>
      <c r="J31" s="314" t="s">
        <v>129</v>
      </c>
      <c r="K31" s="321" t="s">
        <v>113</v>
      </c>
      <c r="L31" s="312"/>
      <c r="M31" s="313"/>
      <c r="N31" s="390" t="s">
        <v>129</v>
      </c>
      <c r="O31" s="315" t="s">
        <v>195</v>
      </c>
      <c r="P31" s="312">
        <f>cat_test_3/K_test/105%/1000*400</f>
        <v>1.1022927689594358E-3</v>
      </c>
      <c r="Q31" s="316">
        <f>fc_repos+(z_travail*0.92)</f>
        <v>169.12</v>
      </c>
      <c r="R31" s="12"/>
    </row>
    <row r="32" spans="2:18" ht="33.950000000000003" customHeight="1" x14ac:dyDescent="0.2">
      <c r="B32" s="338" t="s">
        <v>130</v>
      </c>
      <c r="C32" s="321" t="s">
        <v>113</v>
      </c>
      <c r="D32" s="312"/>
      <c r="E32" s="313"/>
      <c r="F32" s="314" t="s">
        <v>130</v>
      </c>
      <c r="G32" s="315" t="s">
        <v>194</v>
      </c>
      <c r="H32" s="312">
        <f>cat_test_3/K_test/98%/1000*1200</f>
        <v>3.5430839002267575E-3</v>
      </c>
      <c r="I32" s="313">
        <f>fc_repos+(z_travail*0.88)</f>
        <v>163.68</v>
      </c>
      <c r="J32" s="314" t="s">
        <v>130</v>
      </c>
      <c r="K32" s="391" t="s">
        <v>116</v>
      </c>
      <c r="L32" s="312">
        <f>cat_test_3/K_test/78%</f>
        <v>3.7096391263057933E-3</v>
      </c>
      <c r="M32" s="313">
        <f>fc_repos+(z_travail*0.76)</f>
        <v>147.36000000000001</v>
      </c>
      <c r="N32" s="390" t="s">
        <v>130</v>
      </c>
      <c r="O32" s="321" t="s">
        <v>113</v>
      </c>
      <c r="P32" s="312"/>
      <c r="Q32" s="316"/>
      <c r="R32" s="12"/>
    </row>
    <row r="33" spans="2:18" ht="37.5" customHeight="1" x14ac:dyDescent="0.2">
      <c r="B33" s="338" t="s">
        <v>131</v>
      </c>
      <c r="C33" s="322" t="s">
        <v>206</v>
      </c>
      <c r="D33" s="312">
        <f>cat_test_3/K_test/68%</f>
        <v>4.2551742919389977E-3</v>
      </c>
      <c r="E33" s="313">
        <f>fc_repos+(z_travail*0.68)</f>
        <v>136.48000000000002</v>
      </c>
      <c r="F33" s="314" t="s">
        <v>131</v>
      </c>
      <c r="G33" s="321" t="s">
        <v>113</v>
      </c>
      <c r="H33" s="312"/>
      <c r="I33" s="313"/>
      <c r="J33" s="314" t="s">
        <v>131</v>
      </c>
      <c r="K33" s="321" t="s">
        <v>113</v>
      </c>
      <c r="L33" s="312"/>
      <c r="M33" s="313"/>
      <c r="N33" s="390" t="s">
        <v>131</v>
      </c>
      <c r="O33" s="322" t="s">
        <v>142</v>
      </c>
      <c r="P33" s="312">
        <f>cat_test_3/K_test/68%</f>
        <v>4.2551742919389977E-3</v>
      </c>
      <c r="Q33" s="316">
        <f>fc_repos+(z_travail*0.68)</f>
        <v>136.48000000000002</v>
      </c>
      <c r="R33" s="12"/>
    </row>
    <row r="34" spans="2:18" ht="33.950000000000003" customHeight="1" x14ac:dyDescent="0.2">
      <c r="B34" s="338" t="s">
        <v>132</v>
      </c>
      <c r="C34" s="321" t="s">
        <v>113</v>
      </c>
      <c r="D34" s="312"/>
      <c r="E34" s="313"/>
      <c r="F34" s="314" t="s">
        <v>132</v>
      </c>
      <c r="G34" s="321" t="s">
        <v>113</v>
      </c>
      <c r="H34" s="312"/>
      <c r="I34" s="313"/>
      <c r="J34" s="314" t="s">
        <v>132</v>
      </c>
      <c r="K34" s="321" t="s">
        <v>113</v>
      </c>
      <c r="L34" s="312"/>
      <c r="M34" s="313"/>
      <c r="N34" s="390" t="s">
        <v>132</v>
      </c>
      <c r="O34" s="321" t="s">
        <v>113</v>
      </c>
      <c r="P34" s="312"/>
      <c r="Q34" s="316"/>
      <c r="R34" s="12"/>
    </row>
    <row r="35" spans="2:18" ht="45" customHeight="1" x14ac:dyDescent="0.2">
      <c r="B35" s="341" t="s">
        <v>133</v>
      </c>
      <c r="C35" s="328" t="s">
        <v>181</v>
      </c>
      <c r="D35" s="329">
        <f>al_marathon*15</f>
        <v>4.9479166666666664E-2</v>
      </c>
      <c r="E35" s="330">
        <f>fc_competition</f>
        <v>164.68543451652388</v>
      </c>
      <c r="F35" s="327" t="s">
        <v>133</v>
      </c>
      <c r="G35" s="374" t="s">
        <v>207</v>
      </c>
      <c r="H35" s="325" t="str">
        <f>al_marathon</f>
        <v>00:04:45</v>
      </c>
      <c r="I35" s="326">
        <f>fc_competition</f>
        <v>164.68543451652388</v>
      </c>
      <c r="J35" s="327" t="s">
        <v>133</v>
      </c>
      <c r="K35" s="374" t="s">
        <v>208</v>
      </c>
      <c r="L35" s="325" t="str">
        <f>al_marathon</f>
        <v>00:04:45</v>
      </c>
      <c r="M35" s="326">
        <f>fc_competition</f>
        <v>164.68543451652388</v>
      </c>
      <c r="N35" s="392" t="s">
        <v>133</v>
      </c>
      <c r="O35" s="346" t="s">
        <v>184</v>
      </c>
      <c r="P35" s="329">
        <f>objectif</f>
        <v>6.5972222222222224E-2</v>
      </c>
      <c r="Q35" s="348">
        <f>fc_competition</f>
        <v>164.68543451652388</v>
      </c>
      <c r="R35" s="12"/>
    </row>
    <row r="36" spans="2:18" ht="33.950000000000003" customHeight="1" x14ac:dyDescent="0.2">
      <c r="B36" s="12"/>
      <c r="C36" s="275"/>
      <c r="D36" s="12"/>
      <c r="E36" s="276"/>
      <c r="F36" s="12"/>
      <c r="G36" s="275"/>
      <c r="H36" s="12"/>
      <c r="I36" s="276"/>
      <c r="J36" s="12"/>
      <c r="K36" s="275"/>
      <c r="L36" s="12"/>
      <c r="M36" s="276"/>
      <c r="N36" s="12"/>
      <c r="O36" s="275"/>
      <c r="P36" s="12"/>
      <c r="Q36" s="276"/>
      <c r="R36" s="12"/>
    </row>
  </sheetData>
  <sheetProtection password="F7AF" sheet="1" objects="1" scenarios="1"/>
  <mergeCells count="4">
    <mergeCell ref="B4:Q4"/>
    <mergeCell ref="B15:Q15"/>
    <mergeCell ref="B26:Q26"/>
    <mergeCell ref="B2:M2"/>
  </mergeCells>
  <phoneticPr fontId="0" type="noConversion"/>
  <printOptions horizontalCentered="1" verticalCentered="1"/>
  <pageMargins left="0.19685039370078741" right="0.19685039370078741" top="0.59055118110236227" bottom="0.59055118110236227" header="0.51181102362204722" footer="0.51181102362204722"/>
  <pageSetup paperSize="9" firstPageNumber="0" orientation="landscape" horizontalDpi="300" verticalDpi="300" r:id="rId1"/>
  <headerFooter alignWithMargins="0"/>
  <drawing r:id="rId2"/>
  <legacyDrawing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7:F34"/>
  <sheetViews>
    <sheetView workbookViewId="0">
      <selection activeCell="I10" sqref="I10"/>
    </sheetView>
  </sheetViews>
  <sheetFormatPr baseColWidth="10" defaultRowHeight="12.75" customHeight="1" x14ac:dyDescent="0.2"/>
  <cols>
    <col min="1" max="1" width="18.7109375" style="28" customWidth="1"/>
    <col min="2" max="2" width="11.28515625" style="27" customWidth="1"/>
    <col min="3" max="3" width="18.7109375" style="27" customWidth="1"/>
    <col min="4" max="4" width="11.28515625" style="27" customWidth="1"/>
    <col min="5" max="5" width="18.7109375" style="27" customWidth="1"/>
    <col min="6" max="6" width="11.28515625" style="27" customWidth="1"/>
    <col min="7" max="16384" width="11.42578125" style="27"/>
  </cols>
  <sheetData>
    <row r="7" spans="1:6" ht="12.75" customHeight="1" thickBot="1" x14ac:dyDescent="0.25"/>
    <row r="8" spans="1:6" ht="12.75" customHeight="1" x14ac:dyDescent="0.2">
      <c r="A8" s="199" t="s">
        <v>5</v>
      </c>
      <c r="B8" s="200"/>
      <c r="C8" s="200"/>
      <c r="D8" s="200"/>
      <c r="E8" s="200"/>
      <c r="F8" s="201"/>
    </row>
    <row r="9" spans="1:6" ht="12.75" customHeight="1" thickBot="1" x14ac:dyDescent="0.25">
      <c r="A9" s="38"/>
      <c r="B9" s="39"/>
      <c r="C9" s="202" t="s">
        <v>6</v>
      </c>
      <c r="D9" s="203"/>
      <c r="E9" s="202" t="s">
        <v>7</v>
      </c>
      <c r="F9" s="204"/>
    </row>
    <row r="10" spans="1:6" ht="12.75" customHeight="1" x14ac:dyDescent="0.2">
      <c r="A10" s="40" t="s">
        <v>8</v>
      </c>
      <c r="B10" s="41">
        <f>fc_repos</f>
        <v>44</v>
      </c>
      <c r="C10" s="40" t="s">
        <v>9</v>
      </c>
      <c r="D10" s="46">
        <f>100/(v_vma+(0.5*0.9))</f>
        <v>222.22222222222223</v>
      </c>
      <c r="E10" s="40" t="s">
        <v>10</v>
      </c>
      <c r="F10" s="55">
        <v>3.4722222222222224E-4</v>
      </c>
    </row>
    <row r="11" spans="1:6" ht="12.75" customHeight="1" x14ac:dyDescent="0.2">
      <c r="A11" s="32" t="s">
        <v>11</v>
      </c>
      <c r="B11" s="42">
        <f>fc_repos+(z_travail*0.98)</f>
        <v>177.28</v>
      </c>
      <c r="C11" s="32" t="s">
        <v>12</v>
      </c>
      <c r="D11" s="47">
        <f>200/(v_vma+(0.5*0.8))</f>
        <v>500</v>
      </c>
      <c r="E11" s="32" t="s">
        <v>13</v>
      </c>
      <c r="F11" s="33">
        <v>4.0509259259259258E-4</v>
      </c>
    </row>
    <row r="12" spans="1:6" ht="12.75" customHeight="1" x14ac:dyDescent="0.2">
      <c r="A12" s="32" t="s">
        <v>45</v>
      </c>
      <c r="B12" s="42">
        <f>fc_repos+(z_travail*((100-(300/dist_vma_min))/100))</f>
        <v>175.92</v>
      </c>
      <c r="C12" s="32" t="s">
        <v>15</v>
      </c>
      <c r="D12" s="47">
        <f>300/(v_vma+(0.5*0.7))</f>
        <v>857.14285714285722</v>
      </c>
      <c r="E12" s="32" t="s">
        <v>16</v>
      </c>
      <c r="F12" s="33">
        <v>5.7870370370370378E-4</v>
      </c>
    </row>
    <row r="13" spans="1:6" ht="12.75" customHeight="1" x14ac:dyDescent="0.2">
      <c r="A13" s="32" t="s">
        <v>14</v>
      </c>
      <c r="B13" s="42">
        <f>fc_repos+(z_travail*((100-(400/dist_vma_min))/100))</f>
        <v>174.56</v>
      </c>
      <c r="C13" s="32" t="s">
        <v>18</v>
      </c>
      <c r="D13" s="47">
        <f>400/(v_vma+(0.5*0.6))</f>
        <v>1333.3333333333335</v>
      </c>
      <c r="E13" s="32" t="s">
        <v>19</v>
      </c>
      <c r="F13" s="33">
        <v>6.9444444444444447E-4</v>
      </c>
    </row>
    <row r="14" spans="1:6" ht="12.75" customHeight="1" x14ac:dyDescent="0.2">
      <c r="A14" s="32" t="s">
        <v>17</v>
      </c>
      <c r="B14" s="42">
        <f>fc_repos+(z_travail*((100-(500/dist_vma_min))/100))</f>
        <v>173.2</v>
      </c>
      <c r="C14" s="32" t="s">
        <v>21</v>
      </c>
      <c r="D14" s="47">
        <f>500/(v_vma+(0.5*0.5))</f>
        <v>2000</v>
      </c>
      <c r="E14" s="32" t="s">
        <v>22</v>
      </c>
      <c r="F14" s="33">
        <v>6.9444444444444447E-4</v>
      </c>
    </row>
    <row r="15" spans="1:6" ht="12.75" customHeight="1" x14ac:dyDescent="0.2">
      <c r="A15" s="32" t="s">
        <v>50</v>
      </c>
      <c r="B15" s="42">
        <f>fc_repos+(z_travail*((100-(700/dist_vma_min))/100))</f>
        <v>170.48000000000002</v>
      </c>
      <c r="C15" s="32"/>
      <c r="D15" s="48"/>
      <c r="E15" s="32"/>
      <c r="F15" s="33"/>
    </row>
    <row r="16" spans="1:6" ht="12.75" customHeight="1" x14ac:dyDescent="0.2">
      <c r="A16" s="32" t="s">
        <v>46</v>
      </c>
      <c r="B16" s="42">
        <f>fc_repos+(z_travail*((100-(800/dist_vma_min))/100))</f>
        <v>169.12</v>
      </c>
      <c r="C16" s="32" t="s">
        <v>24</v>
      </c>
      <c r="D16" s="48" t="e">
        <f>1000/v_vma</f>
        <v>#DIV/0!</v>
      </c>
      <c r="E16" s="32" t="s">
        <v>25</v>
      </c>
      <c r="F16" s="33">
        <v>1.0416666666666667E-3</v>
      </c>
    </row>
    <row r="17" spans="1:6" ht="12.75" customHeight="1" x14ac:dyDescent="0.2">
      <c r="A17" s="32" t="s">
        <v>47</v>
      </c>
      <c r="B17" s="42">
        <f>fc_repos+(z_travail*((100-(1200/dist_vma_min))/100))</f>
        <v>163.68</v>
      </c>
      <c r="C17" s="32" t="s">
        <v>52</v>
      </c>
      <c r="D17" s="49">
        <f>fc_repos+(z_travail*k_semi)*rapport</f>
        <v>164.68543451652388</v>
      </c>
      <c r="E17" s="32"/>
      <c r="F17" s="33"/>
    </row>
    <row r="18" spans="1:6" ht="12.75" customHeight="1" x14ac:dyDescent="0.2">
      <c r="A18" s="32" t="s">
        <v>20</v>
      </c>
      <c r="B18" s="42">
        <f>fc_repos+(z_travail*k_vma*k_semi)</f>
        <v>148.1216</v>
      </c>
      <c r="C18" s="32" t="s">
        <v>53</v>
      </c>
      <c r="D18" s="50">
        <f>t_th_marathon/objectif</f>
        <v>1.0199918400652797</v>
      </c>
      <c r="E18" s="56"/>
      <c r="F18" s="34"/>
    </row>
    <row r="19" spans="1:6" ht="12.75" customHeight="1" x14ac:dyDescent="0.2">
      <c r="A19" s="32" t="s">
        <v>23</v>
      </c>
      <c r="B19" s="42">
        <f>fc_max-fc_repos</f>
        <v>136</v>
      </c>
      <c r="C19" s="32"/>
      <c r="D19" s="48"/>
      <c r="E19" s="56"/>
      <c r="F19" s="34"/>
    </row>
    <row r="20" spans="1:6" ht="12.75" customHeight="1" x14ac:dyDescent="0.2">
      <c r="A20" s="32"/>
      <c r="B20" s="42"/>
      <c r="C20" s="32" t="s">
        <v>27</v>
      </c>
      <c r="D20" s="33">
        <f>seuil*3</f>
        <v>4.4240170995414503E-3</v>
      </c>
      <c r="E20" s="32"/>
      <c r="F20" s="35"/>
    </row>
    <row r="21" spans="1:6" ht="12.75" customHeight="1" x14ac:dyDescent="0.2">
      <c r="A21" s="32" t="s">
        <v>26</v>
      </c>
      <c r="B21" s="43">
        <f>IF(D_test=2000,0.88,0.9)</f>
        <v>0.88</v>
      </c>
      <c r="C21" s="32" t="s">
        <v>29</v>
      </c>
      <c r="D21" s="33">
        <f>seuil*4</f>
        <v>5.8986894660552677E-3</v>
      </c>
      <c r="E21" s="32"/>
      <c r="F21" s="35"/>
    </row>
    <row r="22" spans="1:6" ht="12.75" customHeight="1" x14ac:dyDescent="0.2">
      <c r="A22" s="32" t="s">
        <v>28</v>
      </c>
      <c r="B22" s="43">
        <f>IF(D_test=2000,0.88,0.88)</f>
        <v>0.88</v>
      </c>
      <c r="C22" s="32" t="s">
        <v>31</v>
      </c>
      <c r="D22" s="48" t="e">
        <f>dist_vma/(v_vma+(0.5*((1000-dist_vma)/1000)))</f>
        <v>#DIV/0!</v>
      </c>
      <c r="E22" s="32"/>
      <c r="F22" s="35"/>
    </row>
    <row r="23" spans="1:6" ht="12.75" customHeight="1" x14ac:dyDescent="0.2">
      <c r="A23" s="32" t="s">
        <v>30</v>
      </c>
      <c r="B23" s="43">
        <f>IF(D_test=2000,0.78,0.8)</f>
        <v>0.78</v>
      </c>
      <c r="C23" s="32"/>
      <c r="D23" s="48"/>
      <c r="E23" s="32"/>
      <c r="F23" s="35"/>
    </row>
    <row r="24" spans="1:6" ht="12.75" customHeight="1" x14ac:dyDescent="0.2">
      <c r="A24" s="32" t="s">
        <v>49</v>
      </c>
      <c r="B24" s="44">
        <v>0.88500000000000001</v>
      </c>
      <c r="C24" s="32" t="s">
        <v>33</v>
      </c>
      <c r="D24" s="42">
        <f>fc_repos+(z_travail*((100-(dist_vma/dist_vma_min))/100))</f>
        <v>166.4</v>
      </c>
      <c r="E24" s="32"/>
      <c r="F24" s="35"/>
    </row>
    <row r="25" spans="1:6" ht="12.75" customHeight="1" x14ac:dyDescent="0.2">
      <c r="A25" s="32" t="s">
        <v>32</v>
      </c>
      <c r="B25" s="43">
        <v>0.68</v>
      </c>
      <c r="C25" s="32" t="s">
        <v>35</v>
      </c>
      <c r="D25" s="42">
        <f>fc_repos+(z_travail*((100-(100/dist_vma_min))/100))</f>
        <v>178.64</v>
      </c>
      <c r="E25" s="52"/>
      <c r="F25" s="35"/>
    </row>
    <row r="26" spans="1:6" ht="12.75" customHeight="1" x14ac:dyDescent="0.2">
      <c r="A26" s="32" t="s">
        <v>34</v>
      </c>
      <c r="B26" s="43">
        <f>IF(D_test=2000,0.83,0.85)</f>
        <v>0.83</v>
      </c>
      <c r="C26" s="32" t="s">
        <v>37</v>
      </c>
      <c r="D26" s="51">
        <f>vma_obj_km*10/k_10</f>
        <v>3.4582775546630973E-2</v>
      </c>
      <c r="E26" s="52"/>
      <c r="F26" s="35"/>
    </row>
    <row r="27" spans="1:6" ht="12.75" customHeight="1" x14ac:dyDescent="0.2">
      <c r="A27" s="32" t="s">
        <v>36</v>
      </c>
      <c r="B27" s="43">
        <f>IF(D_test=2000,0.87,0.87)</f>
        <v>0.87</v>
      </c>
      <c r="C27" s="32" t="s">
        <v>39</v>
      </c>
      <c r="D27" s="51">
        <f>vma_obj_km/k_semi*dist_semi</f>
        <v>6.5985525755640706E-2</v>
      </c>
      <c r="E27" s="52"/>
      <c r="F27" s="35"/>
    </row>
    <row r="28" spans="1:6" ht="12.75" customHeight="1" x14ac:dyDescent="0.2">
      <c r="A28" s="32" t="s">
        <v>38</v>
      </c>
      <c r="B28" s="43">
        <f>IF(D_test=2000,0.83,0.85)</f>
        <v>0.83</v>
      </c>
      <c r="C28" s="32" t="s">
        <v>41</v>
      </c>
      <c r="D28" s="51">
        <f>vma_obj_km/k_semi</f>
        <v>3.2992762877820355E-3</v>
      </c>
      <c r="E28" s="52"/>
      <c r="F28" s="35"/>
    </row>
    <row r="29" spans="1:6" ht="12.75" customHeight="1" x14ac:dyDescent="0.2">
      <c r="A29" s="32" t="s">
        <v>40</v>
      </c>
      <c r="B29" s="43">
        <f>IF(D_test=2000,3.55,3.7)</f>
        <v>3.55</v>
      </c>
      <c r="C29" s="32" t="s">
        <v>43</v>
      </c>
      <c r="D29" s="51">
        <f>endurance/K_facile</f>
        <v>0</v>
      </c>
      <c r="E29" s="52"/>
      <c r="F29" s="35"/>
    </row>
    <row r="30" spans="1:6" ht="12.75" customHeight="1" x14ac:dyDescent="0.2">
      <c r="A30" s="32" t="s">
        <v>42</v>
      </c>
      <c r="B30" s="42">
        <v>100</v>
      </c>
      <c r="C30" s="32" t="s">
        <v>1</v>
      </c>
      <c r="D30" s="51">
        <f>(objectif/dist_marathon)*k_marat/k_anaero</f>
        <v>1.4746723665138169E-3</v>
      </c>
      <c r="E30" s="52"/>
      <c r="F30" s="35"/>
    </row>
    <row r="31" spans="1:6" ht="12.75" customHeight="1" x14ac:dyDescent="0.2">
      <c r="A31" s="32" t="s">
        <v>44</v>
      </c>
      <c r="B31" s="44">
        <v>42.195</v>
      </c>
      <c r="C31" s="52"/>
      <c r="D31" s="35"/>
      <c r="E31" s="52"/>
      <c r="F31" s="35"/>
    </row>
    <row r="32" spans="1:6" ht="12.75" customHeight="1" x14ac:dyDescent="0.2">
      <c r="A32" s="32" t="s">
        <v>2</v>
      </c>
      <c r="B32" s="44">
        <v>20</v>
      </c>
      <c r="C32" s="52"/>
      <c r="D32" s="35"/>
      <c r="E32" s="52"/>
      <c r="F32" s="35"/>
    </row>
    <row r="33" spans="1:6" ht="12.75" customHeight="1" x14ac:dyDescent="0.2">
      <c r="A33" s="32" t="s">
        <v>3</v>
      </c>
      <c r="B33" s="42">
        <f>IF('Parameters '!C9=2000,2,1.5)</f>
        <v>2</v>
      </c>
      <c r="C33" s="52"/>
      <c r="D33" s="35"/>
      <c r="E33" s="52"/>
      <c r="F33" s="35"/>
    </row>
    <row r="34" spans="1:6" ht="12.75" customHeight="1" thickBot="1" x14ac:dyDescent="0.25">
      <c r="A34" s="36" t="s">
        <v>4</v>
      </c>
      <c r="B34" s="45">
        <f>IF(D_test=2000,0.87,0.89)</f>
        <v>0.87</v>
      </c>
      <c r="C34" s="53"/>
      <c r="D34" s="54"/>
      <c r="E34" s="53"/>
      <c r="F34" s="37"/>
    </row>
  </sheetData>
  <mergeCells count="3">
    <mergeCell ref="A8:F8"/>
    <mergeCell ref="C9:D9"/>
    <mergeCell ref="E9:F9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36"/>
  </sheetPr>
  <dimension ref="A2:N37"/>
  <sheetViews>
    <sheetView showGridLines="0" zoomScaleNormal="100" workbookViewId="0">
      <selection activeCell="C17" sqref="C17"/>
    </sheetView>
  </sheetViews>
  <sheetFormatPr baseColWidth="10" defaultRowHeight="12.75" x14ac:dyDescent="0.2"/>
  <cols>
    <col min="1" max="1" width="3" customWidth="1"/>
    <col min="2" max="2" width="18.42578125" customWidth="1"/>
    <col min="3" max="11" width="10.7109375" customWidth="1"/>
  </cols>
  <sheetData>
    <row r="2" spans="1:14" s="57" customFormat="1" ht="36" customHeight="1" x14ac:dyDescent="0.5">
      <c r="B2" s="231" t="s">
        <v>233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21" customHeight="1" x14ac:dyDescent="0.2"/>
    <row r="4" spans="1:14" ht="21" customHeight="1" x14ac:dyDescent="0.3">
      <c r="A4" s="205" t="s">
        <v>256</v>
      </c>
      <c r="B4" s="205"/>
      <c r="C4" s="205"/>
      <c r="D4" s="161">
        <v>14.88</v>
      </c>
      <c r="E4" s="150" t="s">
        <v>105</v>
      </c>
      <c r="F4" s="13"/>
      <c r="G4" s="1"/>
      <c r="H4" s="1"/>
      <c r="I4" s="1"/>
      <c r="J4" s="1"/>
      <c r="K4" s="1"/>
    </row>
    <row r="5" spans="1:14" ht="21" customHeight="1" x14ac:dyDescent="0.25">
      <c r="B5" s="13"/>
      <c r="C5" s="17"/>
      <c r="D5" s="18"/>
      <c r="E5" s="19"/>
      <c r="F5" s="13"/>
      <c r="G5" s="13"/>
      <c r="H5" s="13"/>
      <c r="I5" s="13"/>
      <c r="J5" s="13"/>
      <c r="K5" s="13"/>
    </row>
    <row r="6" spans="1:14" ht="20.25" x14ac:dyDescent="0.2">
      <c r="B6" s="141" t="s">
        <v>106</v>
      </c>
      <c r="C6" s="209" t="s">
        <v>109</v>
      </c>
      <c r="D6" s="210"/>
      <c r="E6" s="210"/>
      <c r="F6" s="210"/>
      <c r="G6" s="210"/>
      <c r="H6" s="210"/>
      <c r="I6" s="210"/>
      <c r="J6" s="210"/>
      <c r="K6" s="211"/>
    </row>
    <row r="7" spans="1:14" ht="18" x14ac:dyDescent="0.2">
      <c r="B7" s="142" t="s">
        <v>107</v>
      </c>
      <c r="C7" s="212" t="s">
        <v>110</v>
      </c>
      <c r="D7" s="213"/>
      <c r="E7" s="213"/>
      <c r="F7" s="213"/>
      <c r="G7" s="213"/>
      <c r="H7" s="213"/>
      <c r="I7" s="213"/>
      <c r="J7" s="213"/>
      <c r="K7" s="214"/>
    </row>
    <row r="8" spans="1:14" ht="24.75" customHeight="1" x14ac:dyDescent="0.2">
      <c r="B8" s="143" t="s">
        <v>108</v>
      </c>
      <c r="C8" s="226">
        <v>100</v>
      </c>
      <c r="D8" s="227">
        <v>200</v>
      </c>
      <c r="E8" s="227">
        <v>400</v>
      </c>
      <c r="F8" s="227">
        <v>600</v>
      </c>
      <c r="G8" s="227">
        <v>800</v>
      </c>
      <c r="H8" s="227">
        <v>1000</v>
      </c>
      <c r="I8" s="227">
        <v>1500</v>
      </c>
      <c r="J8" s="227">
        <v>2000</v>
      </c>
      <c r="K8" s="228">
        <v>3000</v>
      </c>
    </row>
    <row r="9" spans="1:14" ht="21.95" customHeight="1" x14ac:dyDescent="0.2">
      <c r="B9" s="229">
        <v>85</v>
      </c>
      <c r="C9" s="144">
        <f>((100*0.04167)/(D4*10*B9))</f>
        <v>3.2945920303605308E-4</v>
      </c>
      <c r="D9" s="145">
        <f>((200*0.04167)/(D4*10*B9))</f>
        <v>6.5891840607210615E-4</v>
      </c>
      <c r="E9" s="145">
        <f>((400*0.04167)/(D4*10*B9))</f>
        <v>1.3178368121442123E-3</v>
      </c>
      <c r="F9" s="145">
        <f>((600*0.04167)/(D4*10*B9))</f>
        <v>1.9767552182163185E-3</v>
      </c>
      <c r="G9" s="145">
        <f>((800*0.04167)/(D4*10*B9))</f>
        <v>2.6356736242884246E-3</v>
      </c>
      <c r="H9" s="145">
        <f>((1000*0.04167)/(D4*10*B9))</f>
        <v>3.2945920303605308E-3</v>
      </c>
      <c r="I9" s="145">
        <f>((1500*0.04167)/(D4*10*B9))</f>
        <v>4.9418880455407961E-3</v>
      </c>
      <c r="J9" s="145">
        <f>((2000*0.04167)/(D4*10*B9))</f>
        <v>6.5891840607210615E-3</v>
      </c>
      <c r="K9" s="146">
        <f>((3000*0.04167)/(D4*10*B9))</f>
        <v>9.8837760910815923E-3</v>
      </c>
    </row>
    <row r="10" spans="1:14" ht="21.95" customHeight="1" x14ac:dyDescent="0.2">
      <c r="B10" s="229">
        <v>90</v>
      </c>
      <c r="C10" s="144">
        <f>((100*0.04167)/(D4*10*B10))</f>
        <v>3.1115591397849458E-4</v>
      </c>
      <c r="D10" s="145">
        <f>((200*0.04167)/(D4*10*B10))</f>
        <v>6.2231182795698917E-4</v>
      </c>
      <c r="E10" s="145">
        <f>((400*0.04167)/(D4*10*B10))</f>
        <v>1.2446236559139783E-3</v>
      </c>
      <c r="F10" s="145">
        <f>((600*0.04167)/(D4*10*B10))</f>
        <v>1.8669354838709675E-3</v>
      </c>
      <c r="G10" s="145">
        <f>((800*0.04167)/(D4*10*B10))</f>
        <v>2.4892473118279567E-3</v>
      </c>
      <c r="H10" s="145">
        <f>((1000*0.04167)/(D4*10*B10))</f>
        <v>3.1115591397849461E-3</v>
      </c>
      <c r="I10" s="145">
        <f>((1500*0.04167)/(D4*10*B10))</f>
        <v>4.6673387096774184E-3</v>
      </c>
      <c r="J10" s="145">
        <f>((2000*0.04167)/(D4*10*B10))</f>
        <v>6.2231182795698921E-3</v>
      </c>
      <c r="K10" s="146">
        <f>((3000*0.04167)/(D4*10*B10))</f>
        <v>9.3346774193548369E-3</v>
      </c>
    </row>
    <row r="11" spans="1:14" ht="21.95" customHeight="1" x14ac:dyDescent="0.2">
      <c r="B11" s="229">
        <v>95</v>
      </c>
      <c r="C11" s="144">
        <f>((100*0.04167)/(D4*10*B11))</f>
        <v>2.9477928692699486E-4</v>
      </c>
      <c r="D11" s="145">
        <f>((200*0.04167)/(D4*10*B11))</f>
        <v>5.8955857385398973E-4</v>
      </c>
      <c r="E11" s="145">
        <f>((400*0.04167)/(D4*10*B11))</f>
        <v>1.1791171477079795E-3</v>
      </c>
      <c r="F11" s="145">
        <f>((600*0.04167)/(D4*10*B11))</f>
        <v>1.7686757215619692E-3</v>
      </c>
      <c r="G11" s="145">
        <f>((800*0.04167)/(D4*10*B11))</f>
        <v>2.3582342954159589E-3</v>
      </c>
      <c r="H11" s="145">
        <f>((1000*0.04167)/(D4*10*B11))</f>
        <v>2.9477928692699489E-3</v>
      </c>
      <c r="I11" s="145">
        <f>((1500*0.04167)/(D4*10*B11))</f>
        <v>4.4216893039049224E-3</v>
      </c>
      <c r="J11" s="145">
        <f>((2000*0.04167)/(D4*10*B11))</f>
        <v>5.8955857385398977E-3</v>
      </c>
      <c r="K11" s="146">
        <f>((3000*0.04167)/(D4*10*B11))</f>
        <v>8.8433786078098448E-3</v>
      </c>
    </row>
    <row r="12" spans="1:14" ht="21.95" customHeight="1" x14ac:dyDescent="0.2">
      <c r="B12" s="229">
        <v>100</v>
      </c>
      <c r="C12" s="144">
        <f>((100*0.04167)/(D4*10*B12))</f>
        <v>2.8004032258064509E-4</v>
      </c>
      <c r="D12" s="145">
        <f>((200*0.04167)/(D4*10*B12))</f>
        <v>5.6008064516129019E-4</v>
      </c>
      <c r="E12" s="145">
        <f>((400*0.04167)/(D4*10*B12))</f>
        <v>1.1201612903225804E-3</v>
      </c>
      <c r="F12" s="145">
        <f>((600*0.04167)/(D4*10*B12))</f>
        <v>1.6802419354838708E-3</v>
      </c>
      <c r="G12" s="145">
        <f>((800*0.04167)/(D4*10*B12))</f>
        <v>2.2403225806451607E-3</v>
      </c>
      <c r="H12" s="145">
        <f>((1000*0.04167)/(D4*10*B12))</f>
        <v>2.8004032258064516E-3</v>
      </c>
      <c r="I12" s="145">
        <f>((1500*0.04167)/(D4*10*B12))</f>
        <v>4.2006048387096765E-3</v>
      </c>
      <c r="J12" s="145">
        <f>((2000*0.04167)/(D4*10*B12))</f>
        <v>5.6008064516129032E-3</v>
      </c>
      <c r="K12" s="146">
        <f>((3000*0.04167)/(D4*10*B12))</f>
        <v>8.401209677419353E-3</v>
      </c>
    </row>
    <row r="13" spans="1:14" ht="21.95" customHeight="1" x14ac:dyDescent="0.2">
      <c r="B13" s="229">
        <v>105</v>
      </c>
      <c r="C13" s="144">
        <f>((100*0.04167)/(D4*10*B13))</f>
        <v>2.6670506912442391E-4</v>
      </c>
      <c r="D13" s="145">
        <f>((200*0.04167)/(D4*10*B13))</f>
        <v>5.3341013824884781E-4</v>
      </c>
      <c r="E13" s="145">
        <f>((400*0.04167)/(D4*10*B13))</f>
        <v>1.0668202764976956E-3</v>
      </c>
      <c r="F13" s="145">
        <f>((600*0.04167)/(D4*10*B13))</f>
        <v>1.6002304147465435E-3</v>
      </c>
      <c r="G13" s="145">
        <f>((800*0.04167)/(D4*10*B13))</f>
        <v>2.1336405529953912E-3</v>
      </c>
      <c r="H13" s="145">
        <f>((1000*0.04167)/(D4*10*B13))</f>
        <v>2.6670506912442396E-3</v>
      </c>
      <c r="I13" s="145">
        <f>((1500*0.04167)/(D4*10*B13))</f>
        <v>4.0005760368663585E-3</v>
      </c>
      <c r="J13" s="145">
        <f>((2000*0.04167)/(D4*10*B13))</f>
        <v>5.3341013824884792E-3</v>
      </c>
      <c r="K13" s="146">
        <f>((3000*0.04167)/(D4*10*B13))</f>
        <v>8.0011520737327171E-3</v>
      </c>
    </row>
    <row r="14" spans="1:14" ht="21.95" customHeight="1" x14ac:dyDescent="0.2">
      <c r="B14" s="230">
        <v>117</v>
      </c>
      <c r="C14" s="147">
        <f>((100*0.04167)/(D4*10*B14))</f>
        <v>2.3935070306038044E-4</v>
      </c>
      <c r="D14" s="148">
        <f>((200*0.04167)/(D4*10*B14))</f>
        <v>4.7870140612076088E-4</v>
      </c>
      <c r="E14" s="148">
        <f>((400*0.04167)/(D4*10*B14))</f>
        <v>9.5740281224152176E-4</v>
      </c>
      <c r="F14" s="148">
        <f>((600*0.04167)/(D4*10*B14))</f>
        <v>1.4361042183622826E-3</v>
      </c>
      <c r="G14" s="148">
        <f>((800*0.04167)/(D4*10*B14))</f>
        <v>1.9148056244830435E-3</v>
      </c>
      <c r="H14" s="148">
        <f>((1000*0.04167)/(D4*10*B14))</f>
        <v>2.3935070306038047E-3</v>
      </c>
      <c r="I14" s="148">
        <f>((1500*0.04167)/(D4*10*B14))</f>
        <v>3.5902605459057066E-3</v>
      </c>
      <c r="J14" s="148">
        <f>((2000*0.04167)/(D4*10*B14))</f>
        <v>4.7870140612076093E-3</v>
      </c>
      <c r="K14" s="149">
        <f>((3000*0.04167)/(D4*10*B14))</f>
        <v>7.1805210918114131E-3</v>
      </c>
    </row>
    <row r="15" spans="1:14" s="1" customFormat="1" ht="18.95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4" ht="21.95" customHeight="1" x14ac:dyDescent="0.25">
      <c r="B16" s="219" t="s">
        <v>111</v>
      </c>
      <c r="C16" s="220"/>
      <c r="D16" s="220"/>
      <c r="E16" s="221"/>
      <c r="F16" s="221"/>
      <c r="G16" s="221"/>
      <c r="H16" s="221"/>
      <c r="I16" s="13"/>
      <c r="J16" s="1"/>
      <c r="K16" s="1"/>
    </row>
    <row r="17" spans="2:11" ht="21.95" customHeight="1" x14ac:dyDescent="0.25">
      <c r="B17" s="162" t="s">
        <v>257</v>
      </c>
      <c r="C17" s="157">
        <v>114</v>
      </c>
      <c r="D17" s="158"/>
      <c r="E17" s="158"/>
      <c r="F17" s="158"/>
      <c r="G17" s="158"/>
      <c r="H17" s="159"/>
      <c r="I17" s="13"/>
      <c r="J17" s="1"/>
      <c r="K17" s="160"/>
    </row>
    <row r="18" spans="2:11" ht="21.95" customHeight="1" x14ac:dyDescent="0.25">
      <c r="B18" s="163" t="s">
        <v>258</v>
      </c>
      <c r="C18" s="151">
        <v>300</v>
      </c>
      <c r="D18" s="154" t="s">
        <v>54</v>
      </c>
      <c r="E18" s="152"/>
      <c r="F18" s="156" t="s">
        <v>112</v>
      </c>
      <c r="G18" s="155">
        <f>(C18*0.04167)/(D4*10*C17)</f>
        <v>7.3694821731748721E-4</v>
      </c>
      <c r="H18" s="153"/>
      <c r="I18" s="13"/>
      <c r="J18" s="1"/>
      <c r="K18" s="1"/>
    </row>
    <row r="19" spans="2:11" s="1" customFormat="1" ht="15.7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">
      <c r="B20" s="215"/>
      <c r="C20" s="20"/>
      <c r="D20" s="216"/>
      <c r="E20" s="216"/>
      <c r="F20" s="217"/>
      <c r="G20" s="217"/>
      <c r="H20" s="216"/>
      <c r="I20" s="216"/>
      <c r="J20" s="216"/>
      <c r="K20" s="218"/>
    </row>
    <row r="21" spans="2:11" x14ac:dyDescent="0.2">
      <c r="B21" s="215"/>
      <c r="C21" s="20"/>
      <c r="D21" s="216"/>
      <c r="E21" s="216"/>
      <c r="F21" s="217"/>
      <c r="G21" s="217"/>
      <c r="H21" s="216"/>
      <c r="I21" s="216"/>
      <c r="J21" s="216"/>
      <c r="K21" s="218"/>
    </row>
    <row r="22" spans="2:11" x14ac:dyDescent="0.2">
      <c r="B22" s="206"/>
      <c r="C22" s="207"/>
      <c r="D22" s="208"/>
      <c r="E22" s="208"/>
      <c r="F22" s="207"/>
      <c r="G22" s="207"/>
      <c r="H22" s="207"/>
      <c r="I22" s="207"/>
      <c r="J22" s="207"/>
      <c r="K22" s="207"/>
    </row>
    <row r="23" spans="2:11" x14ac:dyDescent="0.2">
      <c r="B23" s="206"/>
      <c r="C23" s="207"/>
      <c r="D23" s="208"/>
      <c r="E23" s="208"/>
      <c r="F23" s="207"/>
      <c r="G23" s="207"/>
      <c r="H23" s="22"/>
      <c r="I23" s="23"/>
      <c r="J23" s="22"/>
      <c r="K23" s="207"/>
    </row>
    <row r="24" spans="2:11" ht="13.5" x14ac:dyDescent="0.2">
      <c r="B24" s="21"/>
      <c r="C24" s="22"/>
      <c r="D24" s="207"/>
      <c r="E24" s="207"/>
      <c r="F24" s="207"/>
      <c r="G24" s="207"/>
      <c r="H24" s="207"/>
      <c r="I24" s="207"/>
      <c r="J24" s="207"/>
      <c r="K24" s="22"/>
    </row>
    <row r="25" spans="2:11" ht="13.5" x14ac:dyDescent="0.2">
      <c r="B25" s="21"/>
      <c r="C25" s="22"/>
      <c r="D25" s="208"/>
      <c r="E25" s="208"/>
      <c r="F25" s="208"/>
      <c r="G25" s="208"/>
      <c r="H25" s="207"/>
      <c r="I25" s="207"/>
      <c r="J25" s="207"/>
      <c r="K25" s="22"/>
    </row>
    <row r="26" spans="2:11" ht="13.5" x14ac:dyDescent="0.2">
      <c r="B26" s="21"/>
      <c r="C26" s="22"/>
      <c r="D26" s="207"/>
      <c r="E26" s="207"/>
      <c r="F26" s="207"/>
      <c r="G26" s="207"/>
      <c r="H26" s="207"/>
      <c r="I26" s="207"/>
      <c r="J26" s="207"/>
      <c r="K26" s="22"/>
    </row>
    <row r="27" spans="2:11" ht="13.5" x14ac:dyDescent="0.2">
      <c r="B27" s="21"/>
      <c r="C27" s="22"/>
      <c r="D27" s="207"/>
      <c r="E27" s="207"/>
      <c r="F27" s="207"/>
      <c r="G27" s="207"/>
      <c r="H27" s="207"/>
      <c r="I27" s="207"/>
      <c r="J27" s="207"/>
      <c r="K27" s="22"/>
    </row>
    <row r="28" spans="2:11" x14ac:dyDescent="0.2">
      <c r="B28" s="206"/>
      <c r="C28" s="207"/>
      <c r="D28" s="207"/>
      <c r="E28" s="207"/>
      <c r="F28" s="207"/>
      <c r="G28" s="207"/>
      <c r="H28" s="207"/>
      <c r="I28" s="207"/>
      <c r="J28" s="207"/>
      <c r="K28" s="207"/>
    </row>
    <row r="29" spans="2:11" x14ac:dyDescent="0.2">
      <c r="B29" s="206"/>
      <c r="C29" s="207"/>
      <c r="D29" s="207"/>
      <c r="E29" s="207"/>
      <c r="F29" s="22"/>
      <c r="G29" s="22"/>
      <c r="H29" s="22"/>
      <c r="I29" s="22"/>
      <c r="J29" s="22"/>
      <c r="K29" s="207"/>
    </row>
    <row r="30" spans="2:11" x14ac:dyDescent="0.2">
      <c r="B30" s="206"/>
      <c r="C30" s="207"/>
      <c r="D30" s="207"/>
      <c r="E30" s="207"/>
      <c r="F30" s="207"/>
      <c r="G30" s="207"/>
      <c r="H30" s="207"/>
      <c r="I30" s="207"/>
      <c r="J30" s="207"/>
      <c r="K30" s="207"/>
    </row>
    <row r="31" spans="2:11" x14ac:dyDescent="0.2">
      <c r="B31" s="206"/>
      <c r="C31" s="207"/>
      <c r="D31" s="22"/>
      <c r="E31" s="22"/>
      <c r="F31" s="207"/>
      <c r="G31" s="207"/>
      <c r="H31" s="207"/>
      <c r="I31" s="207"/>
      <c r="J31" s="207"/>
      <c r="K31" s="207"/>
    </row>
    <row r="32" spans="2:11" ht="13.5" x14ac:dyDescent="0.2">
      <c r="B32" s="21"/>
      <c r="C32" s="22"/>
      <c r="D32" s="225"/>
      <c r="E32" s="225"/>
      <c r="F32" s="207"/>
      <c r="G32" s="207"/>
      <c r="H32" s="207"/>
      <c r="I32" s="207"/>
      <c r="J32" s="207"/>
      <c r="K32" s="22"/>
    </row>
    <row r="33" spans="2:11" x14ac:dyDescent="0.2">
      <c r="B33" s="206"/>
      <c r="C33" s="207"/>
      <c r="D33" s="207"/>
      <c r="E33" s="207"/>
      <c r="F33" s="207"/>
      <c r="G33" s="207"/>
      <c r="H33" s="207"/>
      <c r="I33" s="207"/>
      <c r="J33" s="207"/>
      <c r="K33" s="24"/>
    </row>
    <row r="34" spans="2:11" x14ac:dyDescent="0.2">
      <c r="B34" s="206"/>
      <c r="C34" s="207"/>
      <c r="D34" s="207"/>
      <c r="E34" s="207"/>
      <c r="F34" s="207"/>
      <c r="G34" s="207"/>
      <c r="H34" s="207"/>
      <c r="I34" s="207"/>
      <c r="J34" s="207"/>
      <c r="K34" s="24"/>
    </row>
    <row r="35" spans="2:11" ht="21.6" customHeight="1" x14ac:dyDescent="0.2">
      <c r="B35" s="25"/>
      <c r="C35" s="222"/>
      <c r="D35" s="223"/>
      <c r="E35" s="223"/>
      <c r="F35" s="223"/>
      <c r="G35" s="223"/>
      <c r="H35" s="223"/>
      <c r="I35" s="223"/>
      <c r="J35" s="223"/>
      <c r="K35" s="26"/>
    </row>
    <row r="36" spans="2:11" ht="15.75" x14ac:dyDescent="0.25">
      <c r="B36" s="224"/>
      <c r="C36" s="224"/>
      <c r="D36" s="224"/>
      <c r="E36" s="224"/>
      <c r="F36" s="224"/>
      <c r="G36" s="224"/>
      <c r="H36" s="224"/>
      <c r="I36" s="224"/>
      <c r="J36" s="224"/>
      <c r="K36" s="224"/>
    </row>
    <row r="37" spans="2:11" ht="15.75" x14ac:dyDescent="0.25">
      <c r="B37" s="224"/>
      <c r="C37" s="224"/>
      <c r="D37" s="224"/>
      <c r="E37" s="224"/>
      <c r="F37" s="224"/>
      <c r="G37" s="224"/>
      <c r="H37" s="224"/>
      <c r="I37" s="224"/>
      <c r="J37" s="224"/>
      <c r="K37" s="224"/>
    </row>
  </sheetData>
  <sheetProtection password="F7AF" sheet="1" objects="1" scenarios="1"/>
  <mergeCells count="54">
    <mergeCell ref="B36:K36"/>
    <mergeCell ref="B37:K37"/>
    <mergeCell ref="D32:E32"/>
    <mergeCell ref="F32:G32"/>
    <mergeCell ref="H32:J32"/>
    <mergeCell ref="B33:B34"/>
    <mergeCell ref="C33:E33"/>
    <mergeCell ref="F33:G33"/>
    <mergeCell ref="H33:J33"/>
    <mergeCell ref="K28:K29"/>
    <mergeCell ref="H30:J31"/>
    <mergeCell ref="K30:K31"/>
    <mergeCell ref="C35:J35"/>
    <mergeCell ref="H28:J28"/>
    <mergeCell ref="C34:E34"/>
    <mergeCell ref="F34:G34"/>
    <mergeCell ref="H34:J34"/>
    <mergeCell ref="B28:B29"/>
    <mergeCell ref="C28:C29"/>
    <mergeCell ref="D28:E29"/>
    <mergeCell ref="F28:G28"/>
    <mergeCell ref="B30:B31"/>
    <mergeCell ref="C30:C31"/>
    <mergeCell ref="D30:E30"/>
    <mergeCell ref="F30:G31"/>
    <mergeCell ref="K22:K23"/>
    <mergeCell ref="D27:E27"/>
    <mergeCell ref="F27:G27"/>
    <mergeCell ref="D25:E25"/>
    <mergeCell ref="F25:G25"/>
    <mergeCell ref="H25:J25"/>
    <mergeCell ref="D26:E26"/>
    <mergeCell ref="F26:G26"/>
    <mergeCell ref="H26:J26"/>
    <mergeCell ref="H27:J27"/>
    <mergeCell ref="D24:E24"/>
    <mergeCell ref="F24:G24"/>
    <mergeCell ref="H24:J24"/>
    <mergeCell ref="B2:N2"/>
    <mergeCell ref="A4:C4"/>
    <mergeCell ref="B22:B23"/>
    <mergeCell ref="C22:C23"/>
    <mergeCell ref="D22:E23"/>
    <mergeCell ref="F22:G23"/>
    <mergeCell ref="H22:J22"/>
    <mergeCell ref="C6:K6"/>
    <mergeCell ref="C7:K7"/>
    <mergeCell ref="B20:B21"/>
    <mergeCell ref="D20:E21"/>
    <mergeCell ref="F20:G20"/>
    <mergeCell ref="H20:J21"/>
    <mergeCell ref="K20:K21"/>
    <mergeCell ref="F21:G21"/>
    <mergeCell ref="B16:H16"/>
  </mergeCells>
  <phoneticPr fontId="0" type="noConversion"/>
  <printOptions horizontalCentered="1" verticalCentered="1"/>
  <pageMargins left="0.59055118110236227" right="0.59055118110236227" top="0.78740157480314965" bottom="0.78740157480314965" header="0.51181102362204722" footer="0.51181102362204722"/>
  <pageSetup paperSize="9" firstPageNumber="0" orientation="landscape" cellComments="asDisplayed" horizontalDpi="300" verticalDpi="300" r:id="rId1"/>
  <headerFooter alignWithMargins="0"/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92</vt:i4>
      </vt:variant>
    </vt:vector>
  </HeadingPairs>
  <TitlesOfParts>
    <vt:vector size="99" baseType="lpstr">
      <vt:lpstr>Onthaal </vt:lpstr>
      <vt:lpstr>Parameters </vt:lpstr>
      <vt:lpstr>20 Km 5 train.</vt:lpstr>
      <vt:lpstr>20 Km 4 train.</vt:lpstr>
      <vt:lpstr>20 Km 3 train.</vt:lpstr>
      <vt:lpstr>constantes</vt:lpstr>
      <vt:lpstr>MAS</vt:lpstr>
      <vt:lpstr>_vo2</vt:lpstr>
      <vt:lpstr>al_marathon</vt:lpstr>
      <vt:lpstr>al_semi</vt:lpstr>
      <vt:lpstr>allure_vma</vt:lpstr>
      <vt:lpstr>allure_vma_sec</vt:lpstr>
      <vt:lpstr>cat_km</vt:lpstr>
      <vt:lpstr>cat_kmh</vt:lpstr>
      <vt:lpstr>cat_object</vt:lpstr>
      <vt:lpstr>cat_sec</vt:lpstr>
      <vt:lpstr>cat_test_3</vt:lpstr>
      <vt:lpstr>cat_vitesse</vt:lpstr>
      <vt:lpstr>D_test</vt:lpstr>
      <vt:lpstr>dist_marathon</vt:lpstr>
      <vt:lpstr>dist_semi</vt:lpstr>
      <vt:lpstr>dist_vma</vt:lpstr>
      <vt:lpstr>dist_vma_min</vt:lpstr>
      <vt:lpstr>endurance</vt:lpstr>
      <vt:lpstr>facile</vt:lpstr>
      <vt:lpstr>fc_100</vt:lpstr>
      <vt:lpstr>fc_1200</vt:lpstr>
      <vt:lpstr>fc_200</vt:lpstr>
      <vt:lpstr>fc_300</vt:lpstr>
      <vt:lpstr>fc_3000</vt:lpstr>
      <vt:lpstr>fc_400</vt:lpstr>
      <vt:lpstr>fc_500</vt:lpstr>
      <vt:lpstr>fc_700</vt:lpstr>
      <vt:lpstr>fc_800</vt:lpstr>
      <vt:lpstr>fc_ana</vt:lpstr>
      <vt:lpstr>fc_competition</vt:lpstr>
      <vt:lpstr>fc_marathon</vt:lpstr>
      <vt:lpstr>fc_max</vt:lpstr>
      <vt:lpstr>fc_repos</vt:lpstr>
      <vt:lpstr>fc_semi</vt:lpstr>
      <vt:lpstr>fc_x</vt:lpstr>
      <vt:lpstr>ind_vma</vt:lpstr>
      <vt:lpstr>k_10</vt:lpstr>
      <vt:lpstr>k_aero</vt:lpstr>
      <vt:lpstr>k_anaero</vt:lpstr>
      <vt:lpstr>K_facile</vt:lpstr>
      <vt:lpstr>k_marat</vt:lpstr>
      <vt:lpstr>k_recup</vt:lpstr>
      <vt:lpstr>k_semi</vt:lpstr>
      <vt:lpstr>k_semi_2</vt:lpstr>
      <vt:lpstr>K_test</vt:lpstr>
      <vt:lpstr>k_vma</vt:lpstr>
      <vt:lpstr>marathon</vt:lpstr>
      <vt:lpstr>mdate</vt:lpstr>
      <vt:lpstr>objectif</vt:lpstr>
      <vt:lpstr>R_100</vt:lpstr>
      <vt:lpstr>R_1000</vt:lpstr>
      <vt:lpstr>R_200</vt:lpstr>
      <vt:lpstr>R_300</vt:lpstr>
      <vt:lpstr>R_400</vt:lpstr>
      <vt:lpstr>R_500</vt:lpstr>
      <vt:lpstr>rapport</vt:lpstr>
      <vt:lpstr>recup</vt:lpstr>
      <vt:lpstr>'20 Km 3 train.'!serie_100</vt:lpstr>
      <vt:lpstr>'20 Km 5 train.'!serie_100</vt:lpstr>
      <vt:lpstr>serie_100</vt:lpstr>
      <vt:lpstr>seuil</vt:lpstr>
      <vt:lpstr>seuil_ana</vt:lpstr>
      <vt:lpstr>seuil_ana_obj</vt:lpstr>
      <vt:lpstr>T_100</vt:lpstr>
      <vt:lpstr>T_1000</vt:lpstr>
      <vt:lpstr>T_10k</vt:lpstr>
      <vt:lpstr>T_200</vt:lpstr>
      <vt:lpstr>T_300</vt:lpstr>
      <vt:lpstr>t_3000</vt:lpstr>
      <vt:lpstr>T_400</vt:lpstr>
      <vt:lpstr>t_4000</vt:lpstr>
      <vt:lpstr>T_500</vt:lpstr>
      <vt:lpstr>T_semi</vt:lpstr>
      <vt:lpstr>t_th_marathon</vt:lpstr>
      <vt:lpstr>t_x</vt:lpstr>
      <vt:lpstr>MAS!TABLE</vt:lpstr>
      <vt:lpstr>MAS!TABLE_2</vt:lpstr>
      <vt:lpstr>MAS!TABLE_3</vt:lpstr>
      <vt:lpstr>MAS!TABLE_4</vt:lpstr>
      <vt:lpstr>MAS!TABLE_5</vt:lpstr>
      <vt:lpstr>theo_marathon</vt:lpstr>
      <vt:lpstr>v_vma</vt:lpstr>
      <vt:lpstr>v_vma_obj_kmh</vt:lpstr>
      <vt:lpstr>vma_1000_obj</vt:lpstr>
      <vt:lpstr>VMA_kmh</vt:lpstr>
      <vt:lpstr>vma_obj_km</vt:lpstr>
      <vt:lpstr>z_travail</vt:lpstr>
      <vt:lpstr>'20 Km 3 train.'!Zone_d_impression</vt:lpstr>
      <vt:lpstr>'20 Km 4 train.'!Zone_d_impression</vt:lpstr>
      <vt:lpstr>'20 Km 5 train.'!Zone_d_impression</vt:lpstr>
      <vt:lpstr>MAS!Zone_d_impression</vt:lpstr>
      <vt:lpstr>'Onthaal '!Zone_d_impression</vt:lpstr>
      <vt:lpstr>'Parameters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Préparation 10 KM</dc:title>
  <dc:subject>Logiciel Zatopek.be</dc:subject>
  <dc:creator>Roger IGO</dc:creator>
  <cp:lastModifiedBy>naim.schneyders</cp:lastModifiedBy>
  <cp:revision>1</cp:revision>
  <cp:lastPrinted>2014-01-17T08:01:11Z</cp:lastPrinted>
  <dcterms:created xsi:type="dcterms:W3CDTF">2002-01-09T20:52:19Z</dcterms:created>
  <dcterms:modified xsi:type="dcterms:W3CDTF">2014-01-17T08:14:33Z</dcterms:modified>
</cp:coreProperties>
</file>