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105" windowWidth="15420" windowHeight="8130" tabRatio="697"/>
  </bookViews>
  <sheets>
    <sheet name="Accueil" sheetId="8" r:id="rId1"/>
    <sheet name="Etalonnage" sheetId="1" r:id="rId2"/>
    <sheet name="20 Km 5 ent." sheetId="11" r:id="rId3"/>
    <sheet name="20 Km 4 ent." sheetId="2" r:id="rId4"/>
    <sheet name="20 Km 3 ent." sheetId="10" r:id="rId5"/>
    <sheet name="constantes" sheetId="12" state="hidden" r:id="rId6"/>
    <sheet name="VMA" sheetId="9" r:id="rId7"/>
  </sheets>
  <externalReferences>
    <externalReference r:id="rId8"/>
  </externalReferences>
  <definedNames>
    <definedName name="_60__Endurance_facile">#REF!</definedName>
    <definedName name="_vo2">Etalonnage!$C$15</definedName>
    <definedName name="al_marathon">Etalonnage!$F$21</definedName>
    <definedName name="al_semi">constantes!$D$28</definedName>
    <definedName name="allure_vma">Etalonnage!$C$19</definedName>
    <definedName name="allure_vma_sec">Etalonnage!$C$21</definedName>
    <definedName name="C3.1">#REF!</definedName>
    <definedName name="C3.2">#REF!</definedName>
    <definedName name="cat_km">Etalonnage!$C$11</definedName>
    <definedName name="cat_kmh">Etalonnage!$C$14</definedName>
    <definedName name="cat_object">Etalonnage!$F$12</definedName>
    <definedName name="cat_sec">Etalonnage!$C$12</definedName>
    <definedName name="cat_test_3">Etalonnage!$C$10</definedName>
    <definedName name="cat_vitesse">Etalonnage!$C$13</definedName>
    <definedName name="D_test">Etalonnage!$C$9</definedName>
    <definedName name="date_10">Etalonnage!#REF!</definedName>
    <definedName name="dist_marathon">constantes!$B$31</definedName>
    <definedName name="dist_semi">constantes!$B$32</definedName>
    <definedName name="dist_vma">Etalonnage!$C$18</definedName>
    <definedName name="dist_vma_min">constantes!$B$30</definedName>
    <definedName name="endurance">Etalonnage!$F$19</definedName>
    <definedName name="facile">constantes!$D$29</definedName>
    <definedName name="fc_100">constantes!$D$25</definedName>
    <definedName name="fc_1200">constantes!$B$17</definedName>
    <definedName name="fc_200">constantes!$B$11</definedName>
    <definedName name="fc_300">constantes!$B$12</definedName>
    <definedName name="fc_3000">Etalonnage!$D$10</definedName>
    <definedName name="fc_400">constantes!$B$13</definedName>
    <definedName name="fc_500">constantes!$B$14</definedName>
    <definedName name="fc_700">constantes!$B$15</definedName>
    <definedName name="fc_800">constantes!$B$16</definedName>
    <definedName name="fc_ana">Etalonnage!$D$22</definedName>
    <definedName name="fc_competition">constantes!$D$17</definedName>
    <definedName name="fc_endur">Etalonnage!#REF!</definedName>
    <definedName name="fc_marathon">Etalonnage!$D$24</definedName>
    <definedName name="fc_max">Etalonnage!$D$17</definedName>
    <definedName name="fc_repos">Etalonnage!$D$16</definedName>
    <definedName name="fc_semi">constantes!$B$18</definedName>
    <definedName name="fc_x">constantes!$D$24</definedName>
    <definedName name="ind_vma">constantes!$B$29</definedName>
    <definedName name="k_10">constantes!$B$28</definedName>
    <definedName name="k_aero">constantes!$B$23</definedName>
    <definedName name="k_anaero">constantes!$B$22</definedName>
    <definedName name="K_facile">constantes!$B$34</definedName>
    <definedName name="k_marat">constantes!$B$26</definedName>
    <definedName name="k_recup">constantes!$B$25</definedName>
    <definedName name="k_semi">constantes!$B$27</definedName>
    <definedName name="k_semi_2">constantes!$B$24</definedName>
    <definedName name="K_test">constantes!$B$33</definedName>
    <definedName name="k_vma">constantes!$B$21</definedName>
    <definedName name="marathon">Etalonnage!$F$21</definedName>
    <definedName name="mdate">Etalonnage!$F$10</definedName>
    <definedName name="objectif">Etalonnage!$F$9</definedName>
    <definedName name="R_100">constantes!$F$10</definedName>
    <definedName name="R_1000">constantes!$F$16</definedName>
    <definedName name="R_200">constantes!$F$11</definedName>
    <definedName name="R_300">constantes!$F$12</definedName>
    <definedName name="R_400">constantes!$F$13</definedName>
    <definedName name="R_500">constantes!$F$14</definedName>
    <definedName name="rapport">constantes!$D$18</definedName>
    <definedName name="recup">Etalonnage!$C$23</definedName>
    <definedName name="serie_100" localSheetId="4">'20 Km 3 ent.'!$H$8</definedName>
    <definedName name="serie_100" localSheetId="2">'20 Km 5 ent.'!$H$8</definedName>
    <definedName name="serie_100">'20 Km 4 ent.'!$H$8</definedName>
    <definedName name="seuil">constantes!$D$30</definedName>
    <definedName name="seuil_aero">Etalonnage!#REF!</definedName>
    <definedName name="seuil_ana">Etalonnage!$C$22</definedName>
    <definedName name="seuil_ana_obj">Etalonnage!$F$18</definedName>
    <definedName name="T_100">constantes!$D$10</definedName>
    <definedName name="T_1000">constantes!$D$16</definedName>
    <definedName name="T_10k">constantes!$D$26</definedName>
    <definedName name="T_200">constantes!$D$11</definedName>
    <definedName name="T_300">constantes!$D$12</definedName>
    <definedName name="t_3000">constantes!$D$20</definedName>
    <definedName name="T_400">constantes!$D$13</definedName>
    <definedName name="t_4000">constantes!$D$21</definedName>
    <definedName name="T_500">constantes!$D$14</definedName>
    <definedName name="T_semi">constantes!$D$27</definedName>
    <definedName name="t_th_marathon">Etalonnage!$C$25</definedName>
    <definedName name="t_th_semi">Etalonnage!#REF!</definedName>
    <definedName name="t_x">constantes!$D$22</definedName>
    <definedName name="TABLE" localSheetId="6">VMA!$H$26:$J$26</definedName>
    <definedName name="TABLE">#REF!</definedName>
    <definedName name="TABLE_2" localSheetId="6">VMA!$F$32:$G$32</definedName>
    <definedName name="TABLE_2">#REF!</definedName>
    <definedName name="TABLE_3" localSheetId="6">VMA!$H$32:$J$32</definedName>
    <definedName name="TABLE_3">#REF!</definedName>
    <definedName name="TABLE_4" localSheetId="6">VMA!$D$34:$E$34</definedName>
    <definedName name="TABLE_4">#REF!</definedName>
    <definedName name="TABLE_5" localSheetId="6">VMA!$B$23:$K$38</definedName>
    <definedName name="TABLE_5">#REF!</definedName>
    <definedName name="theo_marathon">Etalonnage!$C$24</definedName>
    <definedName name="v_vma">Etalonnage!$F$15</definedName>
    <definedName name="v_vma_obj_kmh">Etalonnage!$F$16</definedName>
    <definedName name="vma_10" localSheetId="6">[1]constantes!#REF!</definedName>
    <definedName name="vma_100" localSheetId="6">[1]constantes!#REF!</definedName>
    <definedName name="vma_1000_obj">Etalonnage!$F$14</definedName>
    <definedName name="vma_200" localSheetId="6">[1]constantes!#REF!</definedName>
    <definedName name="VMA_kmh">Etalonnage!$C$20</definedName>
    <definedName name="vma_obj_km">Etalonnage!$F$13</definedName>
    <definedName name="z_travail">constantes!$B$19</definedName>
  </definedNames>
  <calcPr calcId="145621"/>
</workbook>
</file>

<file path=xl/calcChain.xml><?xml version="1.0" encoding="utf-8"?>
<calcChain xmlns="http://schemas.openxmlformats.org/spreadsheetml/2006/main">
  <c r="C25" i="1" l="1"/>
  <c r="B19" i="12" l="1"/>
  <c r="D23" i="1" s="1"/>
  <c r="F21" i="1"/>
  <c r="D35" i="10" s="1"/>
  <c r="B33" i="12"/>
  <c r="L32" i="10" s="1"/>
  <c r="H21" i="10"/>
  <c r="D24" i="2"/>
  <c r="L8" i="11"/>
  <c r="L23" i="11"/>
  <c r="D10" i="11"/>
  <c r="B27" i="12"/>
  <c r="F13" i="1" s="1"/>
  <c r="D19" i="1"/>
  <c r="D22" i="1"/>
  <c r="E12" i="1"/>
  <c r="Q20" i="11"/>
  <c r="I30" i="11"/>
  <c r="E32" i="11"/>
  <c r="M20" i="11"/>
  <c r="E21" i="11"/>
  <c r="Q10" i="11"/>
  <c r="M8" i="11"/>
  <c r="E10" i="11"/>
  <c r="Q34" i="11"/>
  <c r="M35" i="11"/>
  <c r="E34" i="11"/>
  <c r="M21" i="11"/>
  <c r="E24" i="11"/>
  <c r="I13" i="11"/>
  <c r="Q31" i="11"/>
  <c r="M9" i="11"/>
  <c r="Q19" i="2"/>
  <c r="I8" i="2"/>
  <c r="E32" i="2"/>
  <c r="E21" i="2"/>
  <c r="M10" i="2"/>
  <c r="E10" i="2"/>
  <c r="I35" i="2"/>
  <c r="E24" i="2"/>
  <c r="M23" i="2"/>
  <c r="M13" i="2"/>
  <c r="E13" i="2"/>
  <c r="I19" i="2"/>
  <c r="I19" i="10"/>
  <c r="Q8" i="10"/>
  <c r="I30" i="10"/>
  <c r="E19" i="10"/>
  <c r="M8" i="10"/>
  <c r="Q33" i="10"/>
  <c r="E8" i="10"/>
  <c r="I32" i="10"/>
  <c r="B11" i="12"/>
  <c r="F12" i="1"/>
  <c r="B22" i="12"/>
  <c r="B21" i="12"/>
  <c r="B34" i="12"/>
  <c r="D29" i="12" s="1"/>
  <c r="B29" i="12"/>
  <c r="B28" i="12"/>
  <c r="B26" i="12"/>
  <c r="D30" i="12" s="1"/>
  <c r="B23" i="12"/>
  <c r="D22" i="12"/>
  <c r="B17" i="12"/>
  <c r="D16" i="12"/>
  <c r="B16" i="12"/>
  <c r="D14" i="12"/>
  <c r="B14" i="12"/>
  <c r="D13" i="12"/>
  <c r="B13" i="12"/>
  <c r="D12" i="12"/>
  <c r="B12" i="12"/>
  <c r="D11" i="12"/>
  <c r="D10" i="12"/>
  <c r="B10" i="12"/>
  <c r="P35" i="10"/>
  <c r="C6" i="10"/>
  <c r="G6" i="10"/>
  <c r="K6" i="10"/>
  <c r="O6" i="10"/>
  <c r="C17" i="10"/>
  <c r="G17" i="10"/>
  <c r="K17" i="10"/>
  <c r="O17" i="10"/>
  <c r="C28" i="10"/>
  <c r="G28" i="10"/>
  <c r="K28" i="10"/>
  <c r="O28" i="10"/>
  <c r="C6" i="2"/>
  <c r="G6" i="2"/>
  <c r="K6" i="2"/>
  <c r="O6" i="2"/>
  <c r="C17" i="2"/>
  <c r="G17" i="2"/>
  <c r="K17" i="2"/>
  <c r="O17" i="2"/>
  <c r="C28" i="2"/>
  <c r="G28" i="2"/>
  <c r="K28" i="2"/>
  <c r="O28" i="2"/>
  <c r="P35" i="2"/>
  <c r="C6" i="11"/>
  <c r="G6" i="11"/>
  <c r="K6" i="11"/>
  <c r="O6" i="11"/>
  <c r="C17" i="11"/>
  <c r="G17" i="11"/>
  <c r="K17" i="11"/>
  <c r="O17" i="11"/>
  <c r="C28" i="11"/>
  <c r="G28" i="11"/>
  <c r="K28" i="11"/>
  <c r="O28" i="11"/>
  <c r="P35" i="11"/>
  <c r="C12" i="9"/>
  <c r="D12" i="9"/>
  <c r="E12" i="9"/>
  <c r="F12" i="9"/>
  <c r="G12" i="9"/>
  <c r="H12" i="9"/>
  <c r="I12" i="9"/>
  <c r="J12" i="9"/>
  <c r="K12" i="9"/>
  <c r="C13" i="9"/>
  <c r="D13" i="9"/>
  <c r="E13" i="9"/>
  <c r="F13" i="9"/>
  <c r="G13" i="9"/>
  <c r="H13" i="9"/>
  <c r="I13" i="9"/>
  <c r="J13" i="9"/>
  <c r="K13" i="9"/>
  <c r="C14" i="9"/>
  <c r="D14" i="9"/>
  <c r="E14" i="9"/>
  <c r="F14" i="9"/>
  <c r="G14" i="9"/>
  <c r="H14" i="9"/>
  <c r="I14" i="9"/>
  <c r="J14" i="9"/>
  <c r="K14" i="9"/>
  <c r="C15" i="9"/>
  <c r="D15" i="9"/>
  <c r="E15" i="9"/>
  <c r="F15" i="9"/>
  <c r="G15" i="9"/>
  <c r="H15" i="9"/>
  <c r="I15" i="9"/>
  <c r="J15" i="9"/>
  <c r="K15" i="9"/>
  <c r="C16" i="9"/>
  <c r="D16" i="9"/>
  <c r="E16" i="9"/>
  <c r="F16" i="9"/>
  <c r="G16" i="9"/>
  <c r="H16" i="9"/>
  <c r="I16" i="9"/>
  <c r="J16" i="9"/>
  <c r="K16" i="9"/>
  <c r="C17" i="9"/>
  <c r="D17" i="9"/>
  <c r="E17" i="9"/>
  <c r="F17" i="9"/>
  <c r="G17" i="9"/>
  <c r="H17" i="9"/>
  <c r="I17" i="9"/>
  <c r="J17" i="9"/>
  <c r="K17" i="9"/>
  <c r="G21" i="9"/>
  <c r="D24" i="12"/>
  <c r="H12" i="2"/>
  <c r="L34" i="11"/>
  <c r="L19" i="2"/>
  <c r="D23" i="11"/>
  <c r="H35" i="10"/>
  <c r="P12" i="2"/>
  <c r="P12" i="11"/>
  <c r="D31" i="11"/>
  <c r="D24" i="10"/>
  <c r="D8" i="11"/>
  <c r="P10" i="11"/>
  <c r="P13" i="11"/>
  <c r="L20" i="11"/>
  <c r="P21" i="11"/>
  <c r="P24" i="11"/>
  <c r="D32" i="11"/>
  <c r="D34" i="11"/>
  <c r="H8" i="11"/>
  <c r="D10" i="2"/>
  <c r="D13" i="2"/>
  <c r="D21" i="2"/>
  <c r="L23" i="2"/>
  <c r="D32" i="2"/>
  <c r="D34" i="2"/>
  <c r="D8" i="10"/>
  <c r="P10" i="10"/>
  <c r="H30" i="10"/>
  <c r="D19" i="10"/>
  <c r="P31" i="10"/>
  <c r="L8" i="2"/>
  <c r="L19" i="11"/>
  <c r="L24" i="2"/>
  <c r="P23" i="2"/>
  <c r="L34" i="2"/>
  <c r="D9" i="11"/>
  <c r="D20" i="11"/>
  <c r="L30" i="11"/>
  <c r="D35" i="11"/>
  <c r="P13" i="10"/>
  <c r="P24" i="10"/>
  <c r="D12" i="2"/>
  <c r="C11" i="1"/>
  <c r="C22" i="1"/>
  <c r="L13" i="11"/>
  <c r="L21" i="11"/>
  <c r="P30" i="11"/>
  <c r="L35" i="11"/>
  <c r="P10" i="2"/>
  <c r="P21" i="2"/>
  <c r="P32" i="2"/>
  <c r="H10" i="10"/>
  <c r="P33" i="10"/>
  <c r="P30" i="2"/>
  <c r="C23" i="1"/>
  <c r="C24" i="1" l="1"/>
  <c r="D19" i="11"/>
  <c r="H32" i="11"/>
  <c r="H13" i="2"/>
  <c r="P34" i="2"/>
  <c r="D21" i="10"/>
  <c r="D12" i="11"/>
  <c r="P21" i="10"/>
  <c r="P24" i="2"/>
  <c r="D8" i="2"/>
  <c r="H24" i="11"/>
  <c r="L10" i="11"/>
  <c r="H31" i="11"/>
  <c r="P31" i="11"/>
  <c r="H30" i="2"/>
  <c r="D33" i="10"/>
  <c r="D10" i="10"/>
  <c r="L32" i="2"/>
  <c r="L21" i="2"/>
  <c r="L10" i="2"/>
  <c r="H35" i="11"/>
  <c r="H30" i="11"/>
  <c r="H21" i="11"/>
  <c r="H13" i="11"/>
  <c r="D25" i="12"/>
  <c r="E12" i="2"/>
  <c r="E33" i="10"/>
  <c r="Q10" i="10"/>
  <c r="M32" i="10"/>
  <c r="M8" i="2"/>
  <c r="I13" i="2"/>
  <c r="Q24" i="2"/>
  <c r="Q34" i="2"/>
  <c r="Q10" i="2"/>
  <c r="I32" i="2"/>
  <c r="M30" i="2"/>
  <c r="E13" i="11"/>
  <c r="I24" i="11"/>
  <c r="I35" i="11"/>
  <c r="E8" i="11"/>
  <c r="M10" i="11"/>
  <c r="I21" i="11"/>
  <c r="I32" i="11"/>
  <c r="I20" i="11"/>
  <c r="D18" i="1"/>
  <c r="D21" i="11"/>
  <c r="P34" i="11"/>
  <c r="H21" i="2"/>
  <c r="L8" i="10"/>
  <c r="D18" i="12"/>
  <c r="H32" i="10"/>
  <c r="L35" i="2"/>
  <c r="P13" i="2"/>
  <c r="P32" i="11"/>
  <c r="P19" i="11"/>
  <c r="C12" i="1"/>
  <c r="C14" i="1" s="1"/>
  <c r="H19" i="2"/>
  <c r="L9" i="11"/>
  <c r="L10" i="10"/>
  <c r="L21" i="10"/>
  <c r="H35" i="2"/>
  <c r="H24" i="2"/>
  <c r="L13" i="2"/>
  <c r="P8" i="11"/>
  <c r="L32" i="11"/>
  <c r="D24" i="11"/>
  <c r="H19" i="11"/>
  <c r="H10" i="11"/>
  <c r="B15" i="12"/>
  <c r="Q31" i="10"/>
  <c r="E10" i="10"/>
  <c r="Q21" i="10"/>
  <c r="Q19" i="10"/>
  <c r="I30" i="2"/>
  <c r="M21" i="2"/>
  <c r="E34" i="2"/>
  <c r="E8" i="2"/>
  <c r="Q21" i="2"/>
  <c r="Q8" i="2"/>
  <c r="M19" i="11"/>
  <c r="Q13" i="11"/>
  <c r="Q24" i="11"/>
  <c r="Q30" i="11"/>
  <c r="I10" i="11"/>
  <c r="E19" i="11"/>
  <c r="Q19" i="11"/>
  <c r="Q9" i="11"/>
  <c r="E21" i="10"/>
  <c r="D20" i="1"/>
  <c r="D13" i="11"/>
  <c r="D30" i="11"/>
  <c r="H10" i="2"/>
  <c r="H32" i="2"/>
  <c r="D28" i="12"/>
  <c r="D26" i="12"/>
  <c r="L24" i="11"/>
  <c r="L24" i="10"/>
  <c r="C15" i="1"/>
  <c r="I9" i="11"/>
  <c r="Q32" i="2"/>
  <c r="D24" i="1"/>
  <c r="B18" i="12"/>
  <c r="D20" i="12"/>
  <c r="D21" i="12"/>
  <c r="D27" i="12"/>
  <c r="L35" i="10"/>
  <c r="H13" i="10"/>
  <c r="H23" i="11"/>
  <c r="D30" i="2"/>
  <c r="H23" i="2"/>
  <c r="L13" i="10"/>
  <c r="D35" i="2"/>
  <c r="D13" i="10"/>
  <c r="L19" i="10"/>
  <c r="H24" i="10"/>
  <c r="H34" i="11"/>
  <c r="L12" i="11"/>
  <c r="L12" i="2"/>
  <c r="D31" i="10"/>
  <c r="P23" i="11"/>
  <c r="D23" i="2"/>
  <c r="H34" i="2"/>
  <c r="H12" i="11"/>
  <c r="D17" i="12"/>
  <c r="M24" i="11" s="1"/>
  <c r="E30" i="2"/>
  <c r="E23" i="11"/>
  <c r="E12" i="11"/>
  <c r="M21" i="10"/>
  <c r="I10" i="10"/>
  <c r="I21" i="10"/>
  <c r="I8" i="10"/>
  <c r="M30" i="10"/>
  <c r="Q30" i="2"/>
  <c r="Q13" i="2"/>
  <c r="I24" i="2"/>
  <c r="M35" i="2"/>
  <c r="I10" i="2"/>
  <c r="I21" i="2"/>
  <c r="M32" i="2"/>
  <c r="E19" i="2"/>
  <c r="I31" i="11"/>
  <c r="M13" i="11"/>
  <c r="M23" i="11"/>
  <c r="E30" i="11"/>
  <c r="Q32" i="11"/>
  <c r="I8" i="11"/>
  <c r="Q8" i="11"/>
  <c r="I19" i="11"/>
  <c r="Q21" i="11"/>
  <c r="M32" i="11"/>
  <c r="M31" i="11"/>
  <c r="M10" i="10"/>
  <c r="D25" i="1"/>
  <c r="D21" i="1"/>
  <c r="E35" i="2" l="1"/>
  <c r="Q35" i="2"/>
  <c r="M30" i="11"/>
  <c r="E13" i="10"/>
  <c r="C13" i="1"/>
  <c r="I23" i="11"/>
  <c r="M12" i="11"/>
  <c r="Q35" i="10"/>
  <c r="I13" i="10"/>
  <c r="I23" i="2"/>
  <c r="M24" i="2"/>
  <c r="I34" i="2"/>
  <c r="E9" i="11"/>
  <c r="E20" i="11"/>
  <c r="E35" i="10"/>
  <c r="Q12" i="11"/>
  <c r="Q23" i="11"/>
  <c r="Q12" i="2"/>
  <c r="I35" i="10"/>
  <c r="Q35" i="11"/>
  <c r="E31" i="11"/>
  <c r="M19" i="10"/>
  <c r="I12" i="11"/>
  <c r="I34" i="11"/>
  <c r="E23" i="2"/>
  <c r="E31" i="10"/>
  <c r="I12" i="2"/>
  <c r="I24" i="10"/>
  <c r="M13" i="10"/>
  <c r="M19" i="2"/>
  <c r="Q23" i="2"/>
  <c r="M12" i="2"/>
  <c r="M34" i="2"/>
  <c r="E24" i="10"/>
  <c r="M24" i="10"/>
  <c r="M34" i="11"/>
  <c r="Q24" i="10"/>
  <c r="M35" i="10"/>
  <c r="E35" i="11"/>
  <c r="Q13" i="10"/>
  <c r="D19" i="2"/>
  <c r="P9" i="11"/>
  <c r="P8" i="2"/>
  <c r="L31" i="11"/>
  <c r="H9" i="11"/>
  <c r="L30" i="10"/>
  <c r="L30" i="2"/>
  <c r="H8" i="10"/>
  <c r="P19" i="2"/>
  <c r="H19" i="10"/>
  <c r="P19" i="10"/>
  <c r="P8" i="10"/>
  <c r="P20" i="11"/>
  <c r="H20" i="11"/>
  <c r="H8" i="2"/>
  <c r="C21" i="1"/>
  <c r="C20" i="1" l="1"/>
  <c r="C19" i="1"/>
</calcChain>
</file>

<file path=xl/comments1.xml><?xml version="1.0" encoding="utf-8"?>
<comments xmlns="http://schemas.openxmlformats.org/spreadsheetml/2006/main">
  <authors>
    <author>mt</author>
    <author>marc</author>
  </authors>
  <commentList>
    <comment ref="C9" authorId="0">
      <text>
        <r>
          <rPr>
            <sz val="10"/>
            <rFont val="Arial"/>
          </rPr>
          <t>Ce test est couru sur 2000m pour les bons coureurs, (moins de 8 mn); sur 1500m pour les autres</t>
        </r>
      </text>
    </comment>
    <comment ref="F9" authorId="0">
      <text>
        <r>
          <rPr>
            <sz val="10"/>
            <rFont val="Arial"/>
          </rPr>
          <t>restez réaliste.
N'espérez pas une progression trop rapide par rapport à votre valeur réelle!</t>
        </r>
      </text>
    </comment>
    <comment ref="B10" authorId="0">
      <text>
        <r>
          <rPr>
            <sz val="10"/>
            <rFont val="Arial"/>
          </rPr>
          <t xml:space="preserve">Il s'agit d'un test sur piste à allure constante, réalisé au maximum des possibilités
</t>
        </r>
      </text>
    </comment>
    <comment ref="C10" authorId="0">
      <text>
        <r>
          <rPr>
            <sz val="10"/>
            <rFont val="Arial"/>
          </rPr>
          <t xml:space="preserve">Le test sur piste est réalisé au maximum des possibilités, à allure constante. Le dernier demi-tour sera couru "à fond", ce qui permettra aussi de connaître sa F.C. max
</t>
        </r>
      </text>
    </comment>
    <comment ref="E12" authorId="1">
      <text>
        <r>
          <rPr>
            <b/>
            <sz val="8"/>
            <color indexed="81"/>
            <rFont val="Tahoma"/>
            <family val="2"/>
          </rPr>
          <t>Pour réaliser cet objectif, il faut réaliser au minimum au CAT test: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>
      <text>
        <r>
          <rPr>
            <b/>
            <sz val="10"/>
            <color indexed="81"/>
            <rFont val="Arial"/>
            <family val="2"/>
          </rPr>
          <t>Ce temps est le temps minimum à réaliser sur le test pour espérer réaliser l'objectif souhaité</t>
        </r>
      </text>
    </comment>
    <comment ref="F13" authorId="0">
      <text>
        <r>
          <rPr>
            <b/>
            <sz val="10"/>
            <color indexed="81"/>
            <rFont val="Arial"/>
            <family val="2"/>
          </rPr>
          <t xml:space="preserve">Saisissez le temps 20km souhaité en haut du tableau !
</t>
        </r>
      </text>
    </comment>
    <comment ref="C14" authorId="1">
      <text>
        <r>
          <rPr>
            <b/>
            <sz val="8"/>
            <color indexed="81"/>
            <rFont val="Tahoma"/>
            <family val="2"/>
          </rPr>
          <t xml:space="preserve">VMA:
Vitesse Maximum Aerobie.
</t>
        </r>
        <r>
          <rPr>
            <sz val="8"/>
            <color indexed="81"/>
            <rFont val="Tahoma"/>
            <family val="2"/>
          </rPr>
          <t>Vos allures de courses sont calculées en % de cette vitesse (voir Feuille "VMA")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>
      <text>
        <r>
          <rPr>
            <sz val="10"/>
            <rFont val="Arial"/>
          </rPr>
          <t>indiquez la fc max obtenue durant le test.
Si vous ne la connaissez pas :
226 - l'âge pour les dames
220 - l'âge pour les hommes</t>
        </r>
      </text>
    </comment>
    <comment ref="C18" authorId="0">
      <text>
        <r>
          <rPr>
            <sz val="10"/>
            <rFont val="Arial"/>
          </rPr>
          <t xml:space="preserve">distance entre 100 &amp; 1000 mètres
</t>
        </r>
      </text>
    </comment>
  </commentList>
</comments>
</file>

<file path=xl/comments2.xml><?xml version="1.0" encoding="utf-8"?>
<comments xmlns="http://schemas.openxmlformats.org/spreadsheetml/2006/main">
  <authors>
    <author>marc</author>
  </authors>
  <commentList>
    <comment ref="E7" authorId="0">
      <text>
        <r>
          <rPr>
            <b/>
            <sz val="8"/>
            <color indexed="81"/>
            <rFont val="Tahoma"/>
            <family val="2"/>
          </rPr>
          <t xml:space="preserve">C'est la valeur que vous avez trouvé cellule B14  Feuille Etalonnage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<sst xmlns="http://schemas.openxmlformats.org/spreadsheetml/2006/main" count="706" uniqueCount="254">
  <si>
    <t>Saisissez vos paramètres dans les cases en jaunes</t>
  </si>
  <si>
    <t>Votre VMA (m/sec):</t>
  </si>
  <si>
    <t>Les cases à saisir sont en jaune</t>
  </si>
  <si>
    <t xml:space="preserve">Le plan vous propose alors 3 possibilités: </t>
  </si>
  <si>
    <t>60' ENDURANCE</t>
  </si>
  <si>
    <t>VMA</t>
  </si>
  <si>
    <t>TEMPS DE PASSAGE AUX :</t>
  </si>
  <si>
    <t>distances (en mètres) choisies par l'entraîneur</t>
  </si>
  <si>
    <t>Pour une autre distance :</t>
  </si>
  <si>
    <t>% choisi :</t>
  </si>
  <si>
    <t>distance :</t>
  </si>
  <si>
    <t>mètres</t>
  </si>
  <si>
    <t>Temps :</t>
  </si>
  <si>
    <t>seuil</t>
  </si>
  <si>
    <t>FC</t>
  </si>
  <si>
    <t xml:space="preserve">REPOS </t>
  </si>
  <si>
    <t>Paramètres correspondants à l'objectif choisi:</t>
  </si>
  <si>
    <t>VMA sur 1000m (hh:mn:sec):</t>
  </si>
  <si>
    <t>Cycle 1</t>
  </si>
  <si>
    <t>Cycle 2</t>
  </si>
  <si>
    <t>dist_semi</t>
  </si>
  <si>
    <t>K_test</t>
  </si>
  <si>
    <t>K_facile</t>
  </si>
  <si>
    <t>Votre valeur actuelle:</t>
  </si>
  <si>
    <t>F.C.</t>
  </si>
  <si>
    <t>Constantes &amp; parametres de calcul</t>
  </si>
  <si>
    <t>calculs intermédiaires</t>
  </si>
  <si>
    <t>Temps de récupération</t>
  </si>
  <si>
    <t>fc_repos</t>
  </si>
  <si>
    <t>T_100</t>
  </si>
  <si>
    <t>R_100</t>
  </si>
  <si>
    <t>Votre temps au Km (mn:sec):</t>
  </si>
  <si>
    <t>en sec:</t>
  </si>
  <si>
    <t>fc_200</t>
  </si>
  <si>
    <t>T_200</t>
  </si>
  <si>
    <t>R_200</t>
  </si>
  <si>
    <t>fc_400</t>
  </si>
  <si>
    <t>T_300</t>
  </si>
  <si>
    <t>R_300</t>
  </si>
  <si>
    <t>en Km/heure:</t>
  </si>
  <si>
    <t>fc_500</t>
  </si>
  <si>
    <t>T_400</t>
  </si>
  <si>
    <t>R_400</t>
  </si>
  <si>
    <t>fc_semi</t>
  </si>
  <si>
    <t>T_500</t>
  </si>
  <si>
    <t>R_500</t>
  </si>
  <si>
    <t>votre indice VO2 Max:</t>
  </si>
  <si>
    <t>z_travail</t>
  </si>
  <si>
    <t>T_1000</t>
  </si>
  <si>
    <t>R_1000</t>
  </si>
  <si>
    <t>k_vma</t>
  </si>
  <si>
    <t>t_3000</t>
  </si>
  <si>
    <t>k_anaero</t>
  </si>
  <si>
    <t>t_4000</t>
  </si>
  <si>
    <t>Allure VMA correspondante (mn:sec):</t>
  </si>
  <si>
    <t>k_aero</t>
  </si>
  <si>
    <t>t_x</t>
  </si>
  <si>
    <t>en sec :</t>
  </si>
  <si>
    <t>k_recup</t>
  </si>
  <si>
    <t>fc_x</t>
  </si>
  <si>
    <t>k_marat</t>
  </si>
  <si>
    <t>fc_100</t>
  </si>
  <si>
    <t>k_semi</t>
  </si>
  <si>
    <t>T_10k</t>
  </si>
  <si>
    <t>Allure de récupération:</t>
  </si>
  <si>
    <t>k_10</t>
  </si>
  <si>
    <t>T_semi</t>
  </si>
  <si>
    <t>ind_vma</t>
  </si>
  <si>
    <t>al_semi</t>
  </si>
  <si>
    <t>dist_vma_min</t>
  </si>
  <si>
    <t>facile</t>
  </si>
  <si>
    <t>dist_marathon</t>
  </si>
  <si>
    <t>Recommandations</t>
  </si>
  <si>
    <t>Entrainement à allure VMA</t>
  </si>
  <si>
    <t>séance d'intervalles</t>
  </si>
  <si>
    <t>séance VMA</t>
  </si>
  <si>
    <t>Jaune foncé</t>
  </si>
  <si>
    <t>Vert Clair</t>
  </si>
  <si>
    <t>Jaune clair</t>
  </si>
  <si>
    <t>Mauve</t>
  </si>
  <si>
    <t>50' ENDURANCE</t>
  </si>
  <si>
    <t>TPS</t>
  </si>
  <si>
    <t>fc_300</t>
  </si>
  <si>
    <t>fc_800</t>
  </si>
  <si>
    <t>fc_1200</t>
  </si>
  <si>
    <t>Composition d'une séance  :</t>
  </si>
  <si>
    <t xml:space="preserve">Chaque séance débute par un échauffement et se termine par un retour au calme. </t>
  </si>
  <si>
    <t xml:space="preserve">Celui ci varie en fonction du contenu de la séance, plus la séance comporte de rythmes rapides  </t>
  </si>
  <si>
    <t>et plus l'échauffement est complet. A la dizaine de minutes de course lente indispensable</t>
  </si>
  <si>
    <t xml:space="preserve">pour bien débuter une sortie en endurance, il faut ajouter (au minimum), quelques exercices </t>
  </si>
  <si>
    <t>Bras / Tronc / Jambes , du PPG et 2 à 3 déboulés pour effectuer des exercices plus rapides.</t>
  </si>
  <si>
    <t>Afin de bien scinder le retour au calme de la période qui précède, il est conseillé de marcher</t>
  </si>
  <si>
    <t>une minute avant de reprendre par une course lente d'une dizaine de minutes suivie</t>
  </si>
  <si>
    <t>d'une série d'étirements doux.</t>
  </si>
  <si>
    <t>Avant tout il est nécessaire de se connaître un peu:</t>
  </si>
  <si>
    <t>Il est donc nécessaire de commencer par un test de terrain, pratiqué sur piste de préférence.</t>
  </si>
  <si>
    <t>car il est fort probable que vous n'iriez pas au bout!</t>
  </si>
  <si>
    <t>Un plan sur 4 séances hebdomadaires</t>
  </si>
  <si>
    <t>Un plan sur 5 séances hebdomadaires</t>
  </si>
  <si>
    <t>MER.</t>
  </si>
  <si>
    <t>VEN.</t>
  </si>
  <si>
    <t>SAM.</t>
  </si>
  <si>
    <t>DIM.</t>
  </si>
  <si>
    <t>JEU.</t>
  </si>
  <si>
    <t>MAR.</t>
  </si>
  <si>
    <t>LUN.</t>
  </si>
  <si>
    <t>Cycle 3</t>
  </si>
  <si>
    <t>COULEUR DE LA CASE</t>
  </si>
  <si>
    <t>TYPE D' ENTRAÎNEMENT</t>
  </si>
  <si>
    <t>INFORMATIONS ANNEXES</t>
  </si>
  <si>
    <t>Temps final + FC de base</t>
  </si>
  <si>
    <t xml:space="preserve">Vitesse au Km + FC de base </t>
  </si>
  <si>
    <t xml:space="preserve">Temps + FC des exercices </t>
  </si>
  <si>
    <t>Distance + FC des exercices</t>
  </si>
  <si>
    <t>On y a intercalé des compétitions (facultatives) qui sont à réaliser sans soucis de performances maximum</t>
  </si>
  <si>
    <t>REALISATION DU TEST :</t>
  </si>
  <si>
    <t xml:space="preserve">séance spécifique à vitesse de l'OBJECTIF </t>
  </si>
  <si>
    <t>date de l'épreuve :</t>
  </si>
  <si>
    <t>Test 10 Km seul ou sur compétition</t>
  </si>
  <si>
    <t>compétition ou assimilé</t>
  </si>
  <si>
    <t>30' END+VMA 2x         (5x60"/60")/4'récup</t>
  </si>
  <si>
    <t>30' END+VMA 2x     (6x30"/30")/4'récup</t>
  </si>
  <si>
    <t>30' END+VMA 2x    (10x20"/20")/4'récup</t>
  </si>
  <si>
    <t>55' ENDURANCE</t>
  </si>
  <si>
    <t>45'END dont 3X : 80M / Recup 80 M</t>
  </si>
  <si>
    <t>20' END + 5 x 5'      Récup 2' - 10' END</t>
  </si>
  <si>
    <t>Un plan sur 3 séances hebdomadaires</t>
  </si>
  <si>
    <t xml:space="preserve">séance d'endurance </t>
  </si>
  <si>
    <t>régénération</t>
  </si>
  <si>
    <t>55 ENDURANCE</t>
  </si>
  <si>
    <t>20'ECH + 6 X 400M RECUP = 2' 30"</t>
  </si>
  <si>
    <t>35' END + 3 x 3'      Récup 2' - 10' END</t>
  </si>
  <si>
    <t>15' END + 4 x 8'     Récup 2' 30'' - 10' END</t>
  </si>
  <si>
    <t xml:space="preserve">Sortie cool                     de 1H30' </t>
  </si>
  <si>
    <t>20' END + 4 x 7'      Récup 2'30'' - 10' END</t>
  </si>
  <si>
    <t>25' END + 3 x 7'      Récup 2' - 10' END</t>
  </si>
  <si>
    <t>20 Km    :        OBJECTIF</t>
  </si>
  <si>
    <t>Votre objectif sur 20 Km (hh:mm:ss)</t>
  </si>
  <si>
    <t>Le 20 Km devra être couru à (mn:sec) / Kms:</t>
  </si>
  <si>
    <t>Allure théorique 20 Km:</t>
  </si>
  <si>
    <t>Votre temps théorique sur 20 Km:</t>
  </si>
  <si>
    <t>Sur quelle distance voulez-vous connaître votre allure VMA (mètres)</t>
  </si>
  <si>
    <t>Vos objectifs : (soyez réaliste!)</t>
  </si>
  <si>
    <t xml:space="preserve">Saisissez votre fréquence cardiaque au repos (debout)     :    </t>
  </si>
  <si>
    <t xml:space="preserve">Saisissez votre fréquence cardiaque maxi     : </t>
  </si>
  <si>
    <t>Indiquez la distance du test (2000m / 1500m)   :</t>
  </si>
  <si>
    <t>Saisissez le temps réalisé au test (hh:mm:ss)   :</t>
  </si>
  <si>
    <t>20' END + 5 x 6'      Récup 2'30'' - 10' END</t>
  </si>
  <si>
    <t>Compétition "contrôle"        15KM</t>
  </si>
  <si>
    <t>25' END + 4 x 1000m      Récup 2'30'' - 10' END</t>
  </si>
  <si>
    <t>20' END + 6 x 4'      Récup 2' - 10' END</t>
  </si>
  <si>
    <t>25' END - 5 x 3'       Récup 2'30'' - 10' END</t>
  </si>
  <si>
    <r>
      <t>25' END+ 7 X 500M   R</t>
    </r>
    <r>
      <rPr>
        <sz val="8"/>
        <color indexed="81"/>
        <rFont val="Arial Narrow"/>
        <family val="2"/>
      </rPr>
      <t>ECUP 2' - 10' END</t>
    </r>
  </si>
  <si>
    <t>Sortie cool                     de 1H20' à 1H40'</t>
  </si>
  <si>
    <t>Sortie cool                     de 1H10' à 1H20'</t>
  </si>
  <si>
    <t>Sortie cool                     de 01h15' à 1H25'</t>
  </si>
  <si>
    <t>Sortie cool                     de 01h05à 1H15</t>
  </si>
  <si>
    <t>30' END+VMA 2x         (8x40"/40")/4'récup</t>
  </si>
  <si>
    <t>30' END+VMA 2x         (6x80"/60")/4'récup</t>
  </si>
  <si>
    <t>30' END+VMA 2x    (7x50"/50")/4'récup</t>
  </si>
  <si>
    <t>30' END+VMA 2x     (8x30"/30")/4'récup</t>
  </si>
  <si>
    <t>20'ECH + 6 x 1200M RECUP = 3' 30"</t>
  </si>
  <si>
    <r>
      <t>20' ECH + 6 X 900M RECUP = 3' 00"</t>
    </r>
    <r>
      <rPr>
        <sz val="8"/>
        <color indexed="8"/>
        <rFont val="Arial"/>
        <family val="2"/>
      </rPr>
      <t/>
    </r>
  </si>
  <si>
    <t>25'ECH +                           2 x : (5x 200M/ r = 2')                   RECUP = 5' 00"</t>
  </si>
  <si>
    <t>20'ECH +                           2 x : (5x 300M/ r = 2')                   RECUP = 5' 00"</t>
  </si>
  <si>
    <t>45'END dont 3X : 80M vite / Recup 80 M</t>
  </si>
  <si>
    <t>Test 10 Km seul ou en compétition</t>
  </si>
  <si>
    <t xml:space="preserve">il faudra bien lever un peu le pied. </t>
  </si>
  <si>
    <t xml:space="preserve"> </t>
  </si>
  <si>
    <t xml:space="preserve">% </t>
  </si>
  <si>
    <t xml:space="preserve">souhaités de la </t>
  </si>
  <si>
    <t>65' ENDURANCE</t>
  </si>
  <si>
    <t>70' ENDURANCE</t>
  </si>
  <si>
    <t xml:space="preserve">Sortie cool                     de 60' </t>
  </si>
  <si>
    <t>55' ENDURANCE   + 3 déboulés</t>
  </si>
  <si>
    <t>40' END - 5 x 2'      Récup 1' 30''- 10' END</t>
  </si>
  <si>
    <t>30' END - 7 x 2'       Récup 1' - 10' END</t>
  </si>
  <si>
    <t>30' END - 5 x 2'      Récup 1' 30''- 10' END</t>
  </si>
  <si>
    <t>55' ENDURANCE             dont 3 déboulés</t>
  </si>
  <si>
    <t>35' END - 5 x 3'       Récup 2'30'' - 15' END</t>
  </si>
  <si>
    <t>45' END - 7 x 2'       Récup 1' - 15' END</t>
  </si>
  <si>
    <t>30' END + 5 x 6'      Récup 2'30'' - 15' END</t>
  </si>
  <si>
    <t>30' END + 5 x 5'      Récup 2' - 15' END</t>
  </si>
  <si>
    <t>25' END + 6 x 4'      Récup 2' - 15' END</t>
  </si>
  <si>
    <t>30' END + 4 x 8'     Récup 2' 30'' - 20' END</t>
  </si>
  <si>
    <t>20' END + 4 x 6'      Récup 2' - 10' END</t>
  </si>
  <si>
    <t>30' END + 3 x 7'      Récup 2' - 20' END</t>
  </si>
  <si>
    <t>35'END - 7 x 1'         Récup 2' - 10' END</t>
  </si>
  <si>
    <t>Seuil :</t>
  </si>
  <si>
    <t>k_semi_2</t>
  </si>
  <si>
    <t>fc_700</t>
  </si>
  <si>
    <t>Sortie cool                     de 50' à 1H10</t>
  </si>
  <si>
    <t>Vitesse au Km + FC des exercices</t>
  </si>
  <si>
    <t xml:space="preserve">Rq : Suite aux remarques/suggestions des lecteurs nous vous renseignons la FC maximum à atteindre lors d’un exercice et non plus </t>
  </si>
  <si>
    <t xml:space="preserve">la FC située au centre de la plage de travail comme pour nos programmes 10 et 42 KM. » </t>
  </si>
  <si>
    <t>45'END dont 3X : 80M vite / Recup 80M</t>
  </si>
  <si>
    <t>avec le temps prévu suite au test ,</t>
  </si>
  <si>
    <t xml:space="preserve"> placez le temps de votre objectif </t>
  </si>
  <si>
    <t>dans cette colonne (case E9)   !!!</t>
  </si>
  <si>
    <t>fc_competition</t>
  </si>
  <si>
    <t>rapport</t>
  </si>
  <si>
    <t>PROGRAMME DE PLANIFICATION D'ENTRAINEMENT POUR LE 20KM</t>
  </si>
  <si>
    <t>Comme vous pouvez souhaiter préparer un 20 Km pour un résultat différent de ce que prévoit le résultat du test, vous entrez le temps</t>
  </si>
  <si>
    <t>participants, etc)</t>
  </si>
  <si>
    <r>
      <t xml:space="preserve">Le feuillet </t>
    </r>
    <r>
      <rPr>
        <sz val="11"/>
        <color indexed="20"/>
        <rFont val="HelveticaNeueLT Std"/>
        <family val="2"/>
      </rPr>
      <t>VMA</t>
    </r>
    <r>
      <rPr>
        <sz val="11"/>
        <rFont val="HelveticaNeueLT Std"/>
        <family val="2"/>
      </rPr>
      <t xml:space="preserve"> permet de prévoir votre rythme pour les séances VMA.</t>
    </r>
  </si>
  <si>
    <t>L'échauffement :</t>
  </si>
  <si>
    <t>Le retour au calme :</t>
  </si>
  <si>
    <t>Légende</t>
  </si>
  <si>
    <r>
      <t xml:space="preserve">Dès que vous êtes en tenue, debout,  vous observez un repos de 15 secondes puis prenez votre fréquence cardiaque = </t>
    </r>
    <r>
      <rPr>
        <b/>
        <sz val="11"/>
        <color theme="8" tint="-0.499984740745262"/>
        <rFont val="HelveticaNeueLT Std"/>
        <family val="2"/>
      </rPr>
      <t>FCRepos</t>
    </r>
  </si>
  <si>
    <r>
      <t xml:space="preserve">Insérez la date de l'épreuve en case </t>
    </r>
    <r>
      <rPr>
        <b/>
        <sz val="11"/>
        <color theme="8" tint="-0.499984740745262"/>
        <rFont val="HelveticaNeueLT Std"/>
        <family val="2"/>
      </rPr>
      <t>E10</t>
    </r>
  </si>
  <si>
    <r>
      <t xml:space="preserve">Les plans sont structurés sur </t>
    </r>
    <r>
      <rPr>
        <b/>
        <sz val="11"/>
        <color theme="8" tint="-0.499984740745262"/>
        <rFont val="HelveticaNeueLT Std"/>
        <family val="2"/>
      </rPr>
      <t>3 périodes de 4 semaines :</t>
    </r>
  </si>
  <si>
    <r>
      <rPr>
        <b/>
        <sz val="11"/>
        <color theme="8" tint="-0.499984740745262"/>
        <rFont val="HelveticaNeueLT Std"/>
        <family val="2"/>
      </rPr>
      <t>Compétitions de préparation :</t>
    </r>
    <r>
      <rPr>
        <sz val="11"/>
        <color indexed="62"/>
        <rFont val="HelveticaNeueLT Std"/>
        <family val="2"/>
      </rPr>
      <t xml:space="preserve"> </t>
    </r>
    <r>
      <rPr>
        <sz val="11"/>
        <rFont val="HelveticaNeueLT Std"/>
        <family val="2"/>
      </rPr>
      <t xml:space="preserve">Débutez à l'allure spécifique de la préparation et tenez celle-ci jusqu'au moment ou </t>
    </r>
  </si>
  <si>
    <r>
      <rPr>
        <b/>
        <sz val="11"/>
        <color theme="8" tint="-0.499984740745262"/>
        <rFont val="HelveticaNeueLT Std"/>
        <family val="2"/>
      </rPr>
      <t>Séances :</t>
    </r>
    <r>
      <rPr>
        <sz val="11"/>
        <rFont val="HelveticaNeueLT Std"/>
        <family val="2"/>
      </rPr>
      <t xml:space="preserve"> le type d' allure visé  détermine la couleur de la case ou se situe la séance</t>
    </r>
  </si>
  <si>
    <r>
      <rPr>
        <b/>
        <sz val="14"/>
        <color theme="8" tint="-0.499984740745262"/>
        <rFont val="HelveticaNeueLT Std Med"/>
        <family val="2"/>
      </rPr>
      <t>L'utilisation du programme commence par le feuillet</t>
    </r>
    <r>
      <rPr>
        <b/>
        <sz val="14"/>
        <color indexed="9"/>
        <rFont val="HelveticaNeueLT Std Med"/>
        <family val="2"/>
      </rPr>
      <t xml:space="preserve"> </t>
    </r>
    <r>
      <rPr>
        <b/>
        <sz val="14"/>
        <color indexed="20"/>
        <rFont val="HelveticaNeueLT Std Med"/>
        <family val="2"/>
      </rPr>
      <t>Etalonnage</t>
    </r>
  </si>
  <si>
    <r>
      <t xml:space="preserve">Votre </t>
    </r>
    <r>
      <rPr>
        <b/>
        <sz val="10"/>
        <color theme="8" tint="-0.499984740745262"/>
        <rFont val="Arial"/>
        <family val="2"/>
      </rPr>
      <t>VMA</t>
    </r>
    <r>
      <rPr>
        <sz val="10"/>
        <color theme="8" tint="-0.499984740745262"/>
        <rFont val="Arial"/>
        <family val="2"/>
      </rPr>
      <t xml:space="preserve"> (Km/heure):</t>
    </r>
  </si>
  <si>
    <t xml:space="preserve">Sortie cool                       de 50' </t>
  </si>
  <si>
    <t>Sortie cool                        de  1H105</t>
  </si>
  <si>
    <t>Sortie cool                        de 01H10 à 01h20</t>
  </si>
  <si>
    <t>Sortie cool                        de 1h20' à 1H30'</t>
  </si>
  <si>
    <t>Sortie cool                        de 1H10'</t>
  </si>
  <si>
    <t>30' END - 7 x 2'          Récup 1' - 10' END</t>
  </si>
  <si>
    <t>20' END + 6 x 4'        Récup 2' - 10' END</t>
  </si>
  <si>
    <t>20' END + 4 x 7'        Récup 2'30'' - 10' END</t>
  </si>
  <si>
    <r>
      <rPr>
        <b/>
        <sz val="10"/>
        <color rgb="FFFF3300"/>
        <rFont val="Arial"/>
        <family val="2"/>
      </rPr>
      <t>ATTENTION</t>
    </r>
    <r>
      <rPr>
        <b/>
        <sz val="10"/>
        <color theme="8" tint="-0.499984740745262"/>
        <rFont val="Arial"/>
        <family val="2"/>
      </rPr>
      <t xml:space="preserve">, même si vous êtes d'accord </t>
    </r>
  </si>
  <si>
    <r>
      <t xml:space="preserve">Ce test se déroule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pour les bons coureurs, sur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 xml:space="preserve">pour les débutants </t>
    </r>
  </si>
  <si>
    <r>
      <t xml:space="preserve">Indiquez si votre test est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ou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>en case</t>
    </r>
    <r>
      <rPr>
        <b/>
        <sz val="11"/>
        <color theme="8" tint="-0.499984740745262"/>
        <rFont val="HelveticaNeueLT Std"/>
        <family val="2"/>
      </rPr>
      <t xml:space="preserve"> B9 </t>
    </r>
    <r>
      <rPr>
        <sz val="11"/>
        <color theme="8" tint="-0.499984740745262"/>
        <rFont val="HelveticaNeueLT Std"/>
        <family val="2"/>
      </rPr>
      <t>!</t>
    </r>
  </si>
  <si>
    <r>
      <t>RESULTAT FCRepos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C16</t>
    </r>
    <r>
      <rPr>
        <sz val="11"/>
        <color theme="8" tint="-0.499984740745262"/>
        <rFont val="HelveticaNeueLT Std"/>
        <family val="2"/>
      </rPr>
      <t>.</t>
    </r>
  </si>
  <si>
    <r>
      <t xml:space="preserve">Il s'agit de courir </t>
    </r>
    <r>
      <rPr>
        <b/>
        <sz val="11"/>
        <color theme="8" tint="-0.499984740745262"/>
        <rFont val="HelveticaNeueLT Std"/>
        <family val="2"/>
      </rPr>
      <t>le plus vite possible</t>
    </r>
    <r>
      <rPr>
        <sz val="11"/>
        <color theme="8" tint="-0.499984740745262"/>
        <rFont val="HelveticaNeueLT Std"/>
        <family val="2"/>
      </rPr>
      <t xml:space="preserve"> , </t>
    </r>
    <r>
      <rPr>
        <b/>
        <sz val="11"/>
        <color theme="8" tint="-0.499984740745262"/>
        <rFont val="HelveticaNeueLT Std"/>
        <family val="2"/>
      </rPr>
      <t>à allure constante</t>
    </r>
    <r>
      <rPr>
        <sz val="11"/>
        <color theme="8" tint="-0.499984740745262"/>
        <rFont val="HelveticaNeueLT Std"/>
        <family val="2"/>
      </rPr>
      <t xml:space="preserve"> puis en parcourant les 200 derniers mètres "à fond"</t>
    </r>
  </si>
  <si>
    <r>
      <t xml:space="preserve">Vous profiterez de ce test pour mesurer votre </t>
    </r>
    <r>
      <rPr>
        <b/>
        <sz val="11"/>
        <color theme="8" tint="-0.499984740745262"/>
        <rFont val="HelveticaNeueLT Std"/>
        <family val="2"/>
      </rPr>
      <t xml:space="preserve">fréquence cardiaque maxi (FCM) </t>
    </r>
    <r>
      <rPr>
        <sz val="11"/>
        <color theme="8" tint="-0.499984740745262"/>
        <rFont val="HelveticaNeueLT Std"/>
        <family val="2"/>
      </rPr>
      <t>(en fin de test)</t>
    </r>
  </si>
  <si>
    <r>
      <t>RESULTAT Temps :</t>
    </r>
    <r>
      <rPr>
        <sz val="11"/>
        <color theme="8" tint="-0.499984740745262"/>
        <rFont val="HelveticaNeueLT Std"/>
        <family val="2"/>
      </rPr>
      <t xml:space="preserve"> Le chiffre que vous obtiendrez est à reporter case </t>
    </r>
    <r>
      <rPr>
        <b/>
        <sz val="11"/>
        <color theme="8" tint="-0.499984740745262"/>
        <rFont val="HelveticaNeueLT Std"/>
        <family val="2"/>
      </rPr>
      <t>B10.</t>
    </r>
  </si>
  <si>
    <r>
      <rPr>
        <b/>
        <sz val="11"/>
        <color theme="8" tint="-0.499984740745262"/>
        <rFont val="HelveticaNeueLT Std"/>
        <family val="2"/>
      </rPr>
      <t>RESULTAT FCM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C17</t>
    </r>
    <r>
      <rPr>
        <u/>
        <sz val="11"/>
        <color theme="8" tint="-0.499984740745262"/>
        <rFont val="HelveticaNeueLT Std"/>
        <family val="2"/>
      </rPr>
      <t>.</t>
    </r>
  </si>
  <si>
    <r>
      <t xml:space="preserve">Ces chiffres vous indiquent votre </t>
    </r>
    <r>
      <rPr>
        <b/>
        <sz val="11"/>
        <color theme="8" tint="-0.499984740745262"/>
        <rFont val="HelveticaNeueLT Std"/>
        <family val="2"/>
      </rPr>
      <t>niveau actuel</t>
    </r>
    <r>
      <rPr>
        <sz val="11"/>
        <color theme="8" tint="-0.499984740745262"/>
        <rFont val="HelveticaNeueLT Std"/>
        <family val="2"/>
      </rPr>
      <t>.</t>
    </r>
  </si>
  <si>
    <r>
      <t xml:space="preserve">désiré case </t>
    </r>
    <r>
      <rPr>
        <b/>
        <sz val="11"/>
        <color theme="8" tint="-0.499984740745262"/>
        <rFont val="HelveticaNeueLT Std"/>
        <family val="2"/>
      </rPr>
      <t>E9</t>
    </r>
    <r>
      <rPr>
        <sz val="11"/>
        <color theme="8" tint="-0.499984740745262"/>
        <rFont val="HelveticaNeueLT Std"/>
        <family val="2"/>
      </rPr>
      <t>.</t>
    </r>
  </si>
  <si>
    <r>
      <t xml:space="preserve">En plus lent </t>
    </r>
    <r>
      <rPr>
        <sz val="11"/>
        <color theme="8" tint="-0.499984740745262"/>
        <rFont val="HelveticaNeueLT Std"/>
        <family val="2"/>
      </rPr>
      <t xml:space="preserve">: cela se fera en fonction de l'(in)expérience et de l'épreuve choisie ( record de l'épreuve, profil, nombre et niveau des </t>
    </r>
  </si>
  <si>
    <r>
      <t>En plus rapide :</t>
    </r>
    <r>
      <rPr>
        <sz val="11"/>
        <color theme="8" tint="-0.499984740745262"/>
        <rFont val="HelveticaNeueLT Std"/>
        <family val="2"/>
      </rPr>
      <t xml:space="preserve"> Attention, restez les pieds sur terre, il ne faut pas s'écarter trop largement du temps calculé  </t>
    </r>
  </si>
  <si>
    <r>
      <t xml:space="preserve">Vous pouvez adapter la distance référence de la VMA en case </t>
    </r>
    <r>
      <rPr>
        <b/>
        <sz val="11"/>
        <color theme="8" tint="-0.499984740745262"/>
        <rFont val="HelveticaNeueLT Std"/>
        <family val="2"/>
      </rPr>
      <t>B18</t>
    </r>
    <r>
      <rPr>
        <sz val="11"/>
        <color theme="8" tint="-0.499984740745262"/>
        <rFont val="HelveticaNeueLT Std"/>
        <family val="2"/>
      </rPr>
      <t xml:space="preserve"> (lecture en </t>
    </r>
    <r>
      <rPr>
        <b/>
        <sz val="11"/>
        <color theme="8" tint="-0.499984740745262"/>
        <rFont val="HelveticaNeueLT Std"/>
        <family val="2"/>
      </rPr>
      <t>B19)</t>
    </r>
  </si>
  <si>
    <t xml:space="preserve">Entrez votre VMA : </t>
  </si>
  <si>
    <t>km/h</t>
  </si>
  <si>
    <t>20'ECH +                               2  x : (5x 300M/ r = 2')                   RECUP = 5' 00"</t>
  </si>
  <si>
    <t>25'ECH +                               2 x : (5x 200M/ r = 2')                   RECUP = 5' 00"</t>
  </si>
  <si>
    <t>Sortie cool                             de 1H105 à 1H10</t>
  </si>
  <si>
    <t>Sortie cool                            de 01h05à 1H15</t>
  </si>
  <si>
    <t>Sortie cool                             de 01H10 à 01h20</t>
  </si>
  <si>
    <t>Sortie cool                             de 01h15' à 1H25'</t>
  </si>
  <si>
    <t>Sortie cool                             de 1h20' à 1H30'</t>
  </si>
  <si>
    <t>Sortie cool                            de 1H10' à 1H20'</t>
  </si>
  <si>
    <t>Sortie cool                             de 1H20' à 1H40'</t>
  </si>
  <si>
    <t>50' ENDURANCE                  + 3 déboulés</t>
  </si>
  <si>
    <t xml:space="preserve">Sortie cool de 1H30' </t>
  </si>
  <si>
    <t>Sortie cool de 1H10'</t>
  </si>
  <si>
    <t xml:space="preserve">Sortie cool de 60' </t>
  </si>
  <si>
    <t xml:space="preserve">Sortie cool de 50' </t>
  </si>
  <si>
    <t xml:space="preserve">Bleu </t>
  </si>
  <si>
    <t>Saumon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</si>
</sst>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\.mm\.yy"/>
    <numFmt numFmtId="166" formatCode="0.000"/>
    <numFmt numFmtId="167" formatCode="mm:ss.00"/>
    <numFmt numFmtId="168" formatCode="[$-F400]h:mm:ss\ AM/PM"/>
    <numFmt numFmtId="169" formatCode="hh:mm:ss;@"/>
    <numFmt numFmtId="170" formatCode="h:mm:ss;@"/>
  </numFmts>
  <fonts count="90" x14ac:knownFonts="1">
    <font>
      <sz val="10"/>
      <name val="Arial"/>
    </font>
    <font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6"/>
      <name val="Times New Roman"/>
      <family val="1"/>
    </font>
    <font>
      <b/>
      <sz val="12"/>
      <color indexed="20"/>
      <name val="Times New Roman"/>
      <family val="1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Arial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sz val="10"/>
      <name val="Verdana"/>
      <family val="2"/>
    </font>
    <font>
      <sz val="9"/>
      <name val="Verdan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sz val="12"/>
      <color indexed="8"/>
      <name val="Arial"/>
      <family val="2"/>
    </font>
    <font>
      <b/>
      <sz val="10.5"/>
      <name val="Arial"/>
      <family val="2"/>
    </font>
    <font>
      <sz val="8"/>
      <color indexed="9"/>
      <name val="Arial Narrow"/>
      <family val="2"/>
    </font>
    <font>
      <sz val="8"/>
      <color indexed="8"/>
      <name val="Arial Narrow"/>
      <family val="2"/>
    </font>
    <font>
      <sz val="8"/>
      <color indexed="81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10"/>
      <color indexed="23"/>
      <name val="Arial Narrow"/>
      <family val="2"/>
    </font>
    <font>
      <sz val="9"/>
      <color indexed="8"/>
      <name val="Arial Narrow"/>
      <family val="2"/>
    </font>
    <font>
      <b/>
      <sz val="9"/>
      <color indexed="20"/>
      <name val="Arial Rounded MT Bold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u/>
      <sz val="10"/>
      <color indexed="9"/>
      <name val="Arial"/>
      <family val="2"/>
    </font>
    <font>
      <b/>
      <sz val="9"/>
      <color indexed="53"/>
      <name val="Verdana"/>
      <family val="2"/>
    </font>
    <font>
      <b/>
      <sz val="10"/>
      <color indexed="53"/>
      <name val="Arial"/>
      <family val="2"/>
    </font>
    <font>
      <sz val="14"/>
      <color indexed="8"/>
      <name val="Times New Roman"/>
      <family val="1"/>
    </font>
    <font>
      <sz val="10"/>
      <color indexed="18"/>
      <name val="Arial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28"/>
      <color theme="0"/>
      <name val="Akzidenz-Grotesk BQ Condensed"/>
      <family val="3"/>
    </font>
    <font>
      <sz val="11"/>
      <name val="HelveticaNeueLT Std"/>
      <family val="2"/>
    </font>
    <font>
      <b/>
      <sz val="11"/>
      <color indexed="62"/>
      <name val="HelveticaNeueLT Std"/>
      <family val="2"/>
    </font>
    <font>
      <b/>
      <sz val="11"/>
      <name val="HelveticaNeueLT Std"/>
      <family val="2"/>
    </font>
    <font>
      <b/>
      <u/>
      <sz val="11"/>
      <color indexed="62"/>
      <name val="HelveticaNeueLT Std"/>
      <family val="2"/>
    </font>
    <font>
      <sz val="11"/>
      <color indexed="62"/>
      <name val="HelveticaNeueLT Std"/>
      <family val="2"/>
    </font>
    <font>
      <sz val="12"/>
      <color theme="0"/>
      <name val="HelveticaNeueLT Std Med"/>
      <family val="2"/>
    </font>
    <font>
      <b/>
      <sz val="10"/>
      <color theme="0"/>
      <name val="HelveticaNeueLT Std"/>
      <family val="2"/>
    </font>
    <font>
      <sz val="11"/>
      <color indexed="20"/>
      <name val="HelveticaNeueLT Std"/>
      <family val="2"/>
    </font>
    <font>
      <b/>
      <u/>
      <sz val="11"/>
      <color indexed="9"/>
      <name val="HelveticaNeueLT Std"/>
      <family val="2"/>
    </font>
    <font>
      <b/>
      <sz val="11"/>
      <color indexed="9"/>
      <name val="HelveticaNeueLT Std"/>
      <family val="2"/>
    </font>
    <font>
      <sz val="11"/>
      <color theme="0"/>
      <name val="HelveticaNeueLT Std Med"/>
      <family val="2"/>
    </font>
    <font>
      <sz val="11"/>
      <color theme="1"/>
      <name val="HelveticaNeueLT Std"/>
      <family val="2"/>
    </font>
    <font>
      <b/>
      <sz val="10"/>
      <color theme="1"/>
      <name val="HelveticaNeueLT Std"/>
      <family val="2"/>
    </font>
    <font>
      <sz val="11"/>
      <color theme="8" tint="-0.499984740745262"/>
      <name val="HelveticaNeueLT Std"/>
      <family val="2"/>
    </font>
    <font>
      <b/>
      <sz val="11"/>
      <color theme="8" tint="-0.499984740745262"/>
      <name val="HelveticaNeueLT Std"/>
      <family val="2"/>
    </font>
    <font>
      <b/>
      <sz val="14"/>
      <color indexed="9"/>
      <name val="HelveticaNeueLT Std Med"/>
      <family val="2"/>
    </font>
    <font>
      <b/>
      <sz val="14"/>
      <color theme="8" tint="-0.499984740745262"/>
      <name val="HelveticaNeueLT Std Med"/>
      <family val="2"/>
    </font>
    <font>
      <b/>
      <sz val="14"/>
      <color indexed="20"/>
      <name val="HelveticaNeueLT Std Med"/>
      <family val="2"/>
    </font>
    <font>
      <sz val="14"/>
      <color indexed="9"/>
      <name val="HelveticaNeueLT Std Med"/>
      <family val="2"/>
    </font>
    <font>
      <sz val="14"/>
      <name val="HelveticaNeueLT Std Med"/>
      <family val="2"/>
    </font>
    <font>
      <sz val="14"/>
      <color theme="0"/>
      <name val="HelveticaNeueLT Std Med"/>
      <family val="2"/>
    </font>
    <font>
      <b/>
      <sz val="14"/>
      <color theme="0"/>
      <name val="HelveticaNeueLT Std Med"/>
      <family val="2"/>
    </font>
    <font>
      <sz val="10"/>
      <name val="HelveticaNeueLT Std"/>
      <family val="2"/>
    </font>
    <font>
      <b/>
      <sz val="10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theme="9" tint="-0.499984740745262"/>
      <name val="HelveticaNeueLT Std Med"/>
      <family val="2"/>
    </font>
    <font>
      <i/>
      <sz val="10"/>
      <name val="Arial"/>
      <family val="2"/>
    </font>
    <font>
      <sz val="8"/>
      <color theme="8" tint="-0.499984740745262"/>
      <name val="Arial Narrow"/>
      <family val="2"/>
    </font>
    <font>
      <b/>
      <sz val="8"/>
      <color theme="8" tint="-0.499984740745262"/>
      <name val="Arial"/>
      <family val="2"/>
    </font>
    <font>
      <b/>
      <sz val="8"/>
      <color theme="8" tint="-0.499984740745262"/>
      <name val="Arial Narrow"/>
      <family val="2"/>
    </font>
    <font>
      <b/>
      <sz val="8"/>
      <color theme="8" tint="-0.499984740745262"/>
      <name val="Cambria"/>
      <family val="1"/>
    </font>
    <font>
      <sz val="11"/>
      <color theme="0"/>
      <name val="HelveticaNeueLT Std Ext"/>
      <family val="2"/>
    </font>
    <font>
      <sz val="14"/>
      <color theme="8" tint="-0.499984740745262"/>
      <name val="HelveticaNeueLT Std Med"/>
      <family val="2"/>
    </font>
    <font>
      <b/>
      <sz val="14"/>
      <color theme="8" tint="-0.499984740745262"/>
      <name val="HelveticaNeueLT Std"/>
      <family val="2"/>
    </font>
    <font>
      <sz val="14"/>
      <color theme="8" tint="-0.499984740745262"/>
      <name val="HelveticaNeueLT Std"/>
      <family val="2"/>
    </font>
    <font>
      <b/>
      <sz val="10"/>
      <color rgb="FFFF3300"/>
      <name val="Arial"/>
      <family val="2"/>
    </font>
    <font>
      <b/>
      <u/>
      <sz val="11"/>
      <color theme="8" tint="-0.499984740745262"/>
      <name val="HelveticaNeueLT Std"/>
      <family val="2"/>
    </font>
    <font>
      <u/>
      <sz val="11"/>
      <color theme="8" tint="-0.499984740745262"/>
      <name val="HelveticaNeueLT Std"/>
      <family val="2"/>
    </font>
    <font>
      <sz val="10"/>
      <color theme="0"/>
      <name val="Arial"/>
      <family val="2"/>
    </font>
    <font>
      <sz val="13"/>
      <color theme="8" tint="-0.499984740745262"/>
      <name val="Arial Narrow"/>
      <family val="2"/>
    </font>
    <font>
      <b/>
      <sz val="14"/>
      <color theme="1"/>
      <name val="HelveticaNeueLT Std"/>
      <family val="2"/>
    </font>
    <font>
      <b/>
      <sz val="13"/>
      <color theme="1"/>
      <name val="HelveticaNeueLT Std"/>
      <family val="2"/>
    </font>
    <font>
      <b/>
      <sz val="16"/>
      <color theme="8" tint="-0.499984740745262"/>
      <name val="HelveticaNeueLT Std"/>
      <family val="2"/>
    </font>
    <font>
      <b/>
      <sz val="12"/>
      <color theme="8" tint="-0.499984740745262"/>
      <name val="HelveticaNeueLT Std"/>
      <family val="2"/>
    </font>
    <font>
      <sz val="10"/>
      <color theme="1"/>
      <name val="HelveticaNeueLT Std"/>
      <family val="2"/>
    </font>
  </fonts>
  <fills count="49">
    <fill>
      <patternFill patternType="none"/>
    </fill>
    <fill>
      <patternFill patternType="gray125"/>
    </fill>
    <fill>
      <patternFill patternType="solid">
        <fgColor indexed="46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26"/>
      </patternFill>
    </fill>
    <fill>
      <patternFill patternType="solid">
        <fgColor indexed="40"/>
        <bgColor indexed="18"/>
      </patternFill>
    </fill>
    <fill>
      <patternFill patternType="solid">
        <fgColor indexed="43"/>
        <bgColor indexed="23"/>
      </patternFill>
    </fill>
    <fill>
      <patternFill patternType="solid">
        <fgColor indexed="47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3"/>
      </patternFill>
    </fill>
    <fill>
      <patternFill patternType="solid">
        <fgColor indexed="46"/>
        <bgColor indexed="19"/>
      </patternFill>
    </fill>
    <fill>
      <patternFill patternType="solid">
        <fgColor indexed="47"/>
        <bgColor indexed="23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26"/>
      </patternFill>
    </fill>
    <fill>
      <patternFill patternType="solid">
        <fgColor indexed="51"/>
        <bgColor indexed="17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4" tint="0.39994506668294322"/>
      </patternFill>
    </fill>
    <fill>
      <patternFill patternType="solid">
        <fgColor rgb="FF92D050"/>
        <bgColor indexed="64"/>
      </patternFill>
    </fill>
    <fill>
      <patternFill patternType="lightDown">
        <fgColor theme="0"/>
        <bgColor theme="8" tint="0.79998168889431442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FFFF99"/>
        <bgColor theme="0"/>
      </patternFill>
    </fill>
    <fill>
      <patternFill patternType="solid">
        <fgColor theme="8" tint="-0.24994659260841701"/>
        <bgColor theme="0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-0.24994659260841701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8" tint="0.79995117038483843"/>
        <bgColor theme="0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theme="0"/>
      </patternFill>
    </fill>
    <fill>
      <patternFill patternType="lightDown">
        <fgColor theme="0"/>
        <bgColor theme="8" tint="0.79995117038483843"/>
      </patternFill>
    </fill>
    <fill>
      <patternFill patternType="lightDown">
        <fgColor theme="0"/>
        <bgColor theme="0"/>
      </patternFill>
    </fill>
    <fill>
      <patternFill patternType="solid">
        <fgColor rgb="FF00FF00"/>
        <bgColor indexed="17"/>
      </patternFill>
    </fill>
    <fill>
      <patternFill patternType="solid">
        <fgColor rgb="FF00FF00"/>
        <bgColor indexed="18"/>
      </patternFill>
    </fill>
    <fill>
      <patternFill patternType="solid">
        <fgColor indexed="47"/>
        <bgColor theme="0"/>
      </patternFill>
    </fill>
    <fill>
      <patternFill patternType="solid">
        <fgColor theme="9" tint="0.79998168889431442"/>
        <bgColor indexed="18"/>
      </patternFill>
    </fill>
    <fill>
      <patternFill patternType="solid">
        <fgColor theme="0" tint="-4.9989318521683403E-2"/>
        <bgColor indexed="18"/>
      </patternFill>
    </fill>
    <fill>
      <patternFill patternType="solid">
        <fgColor theme="0" tint="-4.9989318521683403E-2"/>
        <bgColor indexed="17"/>
      </patternFill>
    </fill>
    <fill>
      <patternFill patternType="solid">
        <fgColor rgb="FFFF99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15"/>
      </patternFill>
    </fill>
    <fill>
      <patternFill patternType="solid">
        <fgColor rgb="FF9999FF"/>
        <bgColor theme="0"/>
      </patternFill>
    </fill>
    <fill>
      <patternFill patternType="solid">
        <fgColor rgb="FF00B0F0"/>
        <bgColor theme="0"/>
      </patternFill>
    </fill>
    <fill>
      <patternFill patternType="solid">
        <fgColor rgb="FFFFCC99"/>
        <bgColor theme="0"/>
      </patternFill>
    </fill>
  </fills>
  <borders count="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 style="thin">
        <color indexed="64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/>
      <right/>
      <top style="medium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theme="8" tint="-0.499984740745262"/>
      </bottom>
      <diagonal/>
    </border>
    <border>
      <left/>
      <right/>
      <top style="medium">
        <color theme="0"/>
      </top>
      <bottom/>
      <diagonal/>
    </border>
    <border>
      <left style="thin">
        <color theme="8" tint="-0.499984740745262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 style="thin">
        <color theme="8" tint="-0.499984740745262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56">
    <xf numFmtId="0" fontId="0" fillId="0" borderId="0" xfId="0"/>
    <xf numFmtId="0" fontId="1" fillId="0" borderId="0" xfId="0" applyFont="1"/>
    <xf numFmtId="0" fontId="2" fillId="0" borderId="0" xfId="0" applyFont="1" applyBorder="1"/>
    <xf numFmtId="0" fontId="13" fillId="0" borderId="0" xfId="0" applyFont="1"/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horizontal="center"/>
    </xf>
    <xf numFmtId="0" fontId="0" fillId="0" borderId="0" xfId="0" applyProtection="1"/>
    <xf numFmtId="0" fontId="1" fillId="0" borderId="0" xfId="0" applyFont="1" applyBorder="1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 wrapText="1"/>
    </xf>
    <xf numFmtId="168" fontId="3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169" fontId="3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wrapText="1"/>
    </xf>
    <xf numFmtId="9" fontId="30" fillId="0" borderId="0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/>
    <xf numFmtId="0" fontId="28" fillId="0" borderId="0" xfId="0" applyFont="1" applyAlignment="1">
      <alignment horizontal="right"/>
    </xf>
    <xf numFmtId="0" fontId="0" fillId="0" borderId="0" xfId="0" applyFill="1"/>
    <xf numFmtId="0" fontId="41" fillId="0" borderId="0" xfId="0" applyFont="1" applyFill="1"/>
    <xf numFmtId="1" fontId="0" fillId="0" borderId="0" xfId="0" applyNumberFormat="1" applyFill="1"/>
    <xf numFmtId="0" fontId="30" fillId="12" borderId="3" xfId="0" applyFont="1" applyFill="1" applyBorder="1" applyAlignment="1">
      <alignment horizontal="right" vertical="center"/>
    </xf>
    <xf numFmtId="21" fontId="30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/>
    <xf numFmtId="0" fontId="30" fillId="0" borderId="1" xfId="0" applyFont="1" applyFill="1" applyBorder="1"/>
    <xf numFmtId="0" fontId="30" fillId="12" borderId="4" xfId="0" applyFont="1" applyFill="1" applyBorder="1" applyAlignment="1">
      <alignment horizontal="right" vertical="center"/>
    </xf>
    <xf numFmtId="0" fontId="30" fillId="0" borderId="2" xfId="0" applyFont="1" applyFill="1" applyBorder="1"/>
    <xf numFmtId="0" fontId="30" fillId="0" borderId="11" xfId="0" applyFont="1" applyFill="1" applyBorder="1" applyAlignment="1">
      <alignment horizontal="right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12" borderId="5" xfId="0" applyFont="1" applyFill="1" applyBorder="1" applyAlignment="1">
      <alignment horizontal="right" vertical="center"/>
    </xf>
    <xf numFmtId="1" fontId="30" fillId="0" borderId="7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/>
    </xf>
    <xf numFmtId="166" fontId="30" fillId="0" borderId="1" xfId="0" applyNumberFormat="1" applyFont="1" applyFill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center" vertical="center"/>
    </xf>
    <xf numFmtId="1" fontId="30" fillId="0" borderId="7" xfId="0" applyNumberFormat="1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/>
    </xf>
    <xf numFmtId="2" fontId="29" fillId="0" borderId="1" xfId="0" applyNumberFormat="1" applyFont="1" applyFill="1" applyBorder="1" applyAlignment="1">
      <alignment horizontal="center"/>
    </xf>
    <xf numFmtId="21" fontId="30" fillId="0" borderId="1" xfId="0" applyNumberFormat="1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right"/>
    </xf>
    <xf numFmtId="0" fontId="30" fillId="12" borderId="4" xfId="0" applyFont="1" applyFill="1" applyBorder="1" applyAlignment="1">
      <alignment horizontal="right"/>
    </xf>
    <xf numFmtId="0" fontId="30" fillId="0" borderId="2" xfId="0" applyFont="1" applyFill="1" applyBorder="1" applyAlignment="1">
      <alignment horizontal="center"/>
    </xf>
    <xf numFmtId="21" fontId="30" fillId="0" borderId="7" xfId="0" applyNumberFormat="1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right"/>
    </xf>
    <xf numFmtId="0" fontId="0" fillId="15" borderId="0" xfId="0" applyFill="1" applyProtection="1">
      <protection locked="0"/>
    </xf>
    <xf numFmtId="0" fontId="45" fillId="0" borderId="0" xfId="0" applyFont="1" applyFill="1" applyBorder="1"/>
    <xf numFmtId="0" fontId="14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44" fillId="15" borderId="0" xfId="0" applyFont="1" applyFill="1" applyBorder="1" applyAlignment="1" applyProtection="1">
      <alignment horizontal="left"/>
      <protection locked="0"/>
    </xf>
    <xf numFmtId="0" fontId="50" fillId="0" borderId="0" xfId="0" applyFont="1" applyFill="1" applyBorder="1" applyAlignment="1" applyProtection="1">
      <alignment horizontal="left" vertical="center" indent="3"/>
    </xf>
    <xf numFmtId="0" fontId="51" fillId="0" borderId="0" xfId="1" applyFont="1" applyFill="1" applyBorder="1" applyAlignment="1" applyProtection="1">
      <alignment horizontal="center" vertical="center" wrapText="1"/>
    </xf>
    <xf numFmtId="0" fontId="51" fillId="0" borderId="0" xfId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left" vertical="center" wrapText="1" indent="3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7" fillId="0" borderId="0" xfId="0" applyFont="1" applyFill="1" applyBorder="1" applyAlignment="1">
      <alignment horizontal="left" indent="1"/>
    </xf>
    <xf numFmtId="0" fontId="28" fillId="0" borderId="0" xfId="0" applyFont="1" applyFill="1" applyBorder="1" applyAlignment="1">
      <alignment horizontal="left" indent="1"/>
    </xf>
    <xf numFmtId="0" fontId="13" fillId="0" borderId="0" xfId="0" applyFont="1" applyFill="1"/>
    <xf numFmtId="0" fontId="55" fillId="0" borderId="0" xfId="0" applyFont="1" applyFill="1" applyBorder="1" applyAlignment="1" applyProtection="1">
      <alignment horizontal="left" vertical="center" wrapText="1" indent="2"/>
    </xf>
    <xf numFmtId="0" fontId="61" fillId="0" borderId="0" xfId="0" applyFont="1" applyFill="1" applyBorder="1" applyAlignment="1" applyProtection="1">
      <alignment horizontal="left" vertical="center" wrapText="1"/>
    </xf>
    <xf numFmtId="0" fontId="50" fillId="25" borderId="15" xfId="0" applyFont="1" applyFill="1" applyBorder="1" applyAlignment="1" applyProtection="1">
      <alignment horizontal="center" vertical="center"/>
    </xf>
    <xf numFmtId="21" fontId="35" fillId="14" borderId="26" xfId="0" applyNumberFormat="1" applyFont="1" applyFill="1" applyBorder="1" applyAlignment="1">
      <alignment horizontal="center" vertical="center"/>
    </xf>
    <xf numFmtId="1" fontId="34" fillId="9" borderId="24" xfId="0" applyNumberFormat="1" applyFont="1" applyFill="1" applyBorder="1" applyAlignment="1" applyProtection="1">
      <alignment horizontal="center" vertical="center"/>
      <protection locked="0"/>
    </xf>
    <xf numFmtId="21" fontId="35" fillId="9" borderId="27" xfId="0" applyNumberFormat="1" applyFont="1" applyFill="1" applyBorder="1" applyAlignment="1" applyProtection="1">
      <alignment horizontal="center" vertical="center"/>
      <protection locked="0"/>
    </xf>
    <xf numFmtId="0" fontId="35" fillId="9" borderId="29" xfId="0" applyFont="1" applyFill="1" applyBorder="1" applyAlignment="1" applyProtection="1">
      <alignment horizontal="center" vertical="center"/>
      <protection locked="0"/>
    </xf>
    <xf numFmtId="1" fontId="35" fillId="13" borderId="32" xfId="0" applyNumberFormat="1" applyFont="1" applyFill="1" applyBorder="1" applyAlignment="1" applyProtection="1">
      <alignment horizontal="center" vertical="center"/>
      <protection locked="0"/>
    </xf>
    <xf numFmtId="0" fontId="35" fillId="9" borderId="34" xfId="0" applyFont="1" applyFill="1" applyBorder="1" applyAlignment="1" applyProtection="1">
      <alignment horizontal="center" vertical="center"/>
      <protection locked="0"/>
    </xf>
    <xf numFmtId="21" fontId="35" fillId="9" borderId="30" xfId="0" applyNumberFormat="1" applyFont="1" applyFill="1" applyBorder="1" applyAlignment="1" applyProtection="1">
      <alignment horizontal="center" vertical="center"/>
      <protection locked="0"/>
    </xf>
    <xf numFmtId="165" fontId="35" fillId="9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/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72" fillId="18" borderId="22" xfId="0" applyFont="1" applyFill="1" applyBorder="1" applyAlignment="1" applyProtection="1">
      <alignment horizontal="center" vertical="center" wrapText="1"/>
    </xf>
    <xf numFmtId="0" fontId="74" fillId="18" borderId="38" xfId="0" applyFont="1" applyFill="1" applyBorder="1" applyAlignment="1" applyProtection="1">
      <alignment horizontal="center" vertical="center" wrapText="1"/>
    </xf>
    <xf numFmtId="1" fontId="74" fillId="18" borderId="19" xfId="0" applyNumberFormat="1" applyFont="1" applyFill="1" applyBorder="1" applyAlignment="1" applyProtection="1">
      <alignment horizontal="center" vertical="center" wrapText="1"/>
    </xf>
    <xf numFmtId="0" fontId="74" fillId="18" borderId="23" xfId="0" applyFont="1" applyFill="1" applyBorder="1" applyAlignment="1" applyProtection="1">
      <alignment horizontal="center" vertical="center" wrapText="1"/>
    </xf>
    <xf numFmtId="169" fontId="74" fillId="18" borderId="38" xfId="0" applyNumberFormat="1" applyFont="1" applyFill="1" applyBorder="1" applyAlignment="1" applyProtection="1">
      <alignment horizontal="center" vertical="center" wrapText="1"/>
    </xf>
    <xf numFmtId="1" fontId="74" fillId="18" borderId="37" xfId="0" applyNumberFormat="1" applyFont="1" applyFill="1" applyBorder="1" applyAlignment="1" applyProtection="1">
      <alignment horizontal="center" vertical="center" wrapText="1"/>
    </xf>
    <xf numFmtId="0" fontId="74" fillId="18" borderId="41" xfId="0" applyFont="1" applyFill="1" applyBorder="1" applyAlignment="1">
      <alignment horizontal="center" vertical="center" wrapText="1"/>
    </xf>
    <xf numFmtId="0" fontId="74" fillId="18" borderId="44" xfId="0" applyFont="1" applyFill="1" applyBorder="1" applyAlignment="1">
      <alignment horizontal="center" vertical="center" wrapText="1"/>
    </xf>
    <xf numFmtId="0" fontId="74" fillId="18" borderId="27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74" fillId="18" borderId="4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center" vertical="center" wrapText="1"/>
    </xf>
    <xf numFmtId="0" fontId="25" fillId="6" borderId="34" xfId="0" applyFont="1" applyFill="1" applyBorder="1" applyAlignment="1">
      <alignment horizontal="center" vertical="center" wrapText="1"/>
    </xf>
    <xf numFmtId="0" fontId="74" fillId="18" borderId="21" xfId="0" applyFont="1" applyFill="1" applyBorder="1" applyAlignment="1">
      <alignment horizontal="center"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74" fillId="18" borderId="39" xfId="0" applyFont="1" applyFill="1" applyBorder="1" applyAlignment="1">
      <alignment horizontal="center" vertical="center" wrapText="1"/>
    </xf>
    <xf numFmtId="0" fontId="32" fillId="10" borderId="34" xfId="0" applyFont="1" applyFill="1" applyBorder="1" applyAlignment="1">
      <alignment horizontal="center" vertical="center" wrapText="1"/>
    </xf>
    <xf numFmtId="0" fontId="24" fillId="18" borderId="22" xfId="0" applyFont="1" applyFill="1" applyBorder="1" applyAlignment="1" applyProtection="1">
      <alignment horizontal="center" vertical="center" wrapText="1"/>
    </xf>
    <xf numFmtId="0" fontId="73" fillId="18" borderId="38" xfId="0" applyFont="1" applyFill="1" applyBorder="1" applyAlignment="1" applyProtection="1">
      <alignment horizontal="center" vertical="center" wrapText="1"/>
    </xf>
    <xf numFmtId="1" fontId="73" fillId="18" borderId="19" xfId="0" applyNumberFormat="1" applyFont="1" applyFill="1" applyBorder="1" applyAlignment="1" applyProtection="1">
      <alignment horizontal="center" vertical="center" wrapText="1"/>
    </xf>
    <xf numFmtId="169" fontId="73" fillId="18" borderId="38" xfId="0" applyNumberFormat="1" applyFont="1" applyFill="1" applyBorder="1" applyAlignment="1" applyProtection="1">
      <alignment horizontal="center" vertical="center" wrapText="1"/>
    </xf>
    <xf numFmtId="168" fontId="73" fillId="18" borderId="38" xfId="0" applyNumberFormat="1" applyFont="1" applyFill="1" applyBorder="1" applyAlignment="1" applyProtection="1">
      <alignment horizontal="center" vertical="center" wrapText="1"/>
    </xf>
    <xf numFmtId="1" fontId="21" fillId="18" borderId="37" xfId="0" applyNumberFormat="1" applyFont="1" applyFill="1" applyBorder="1" applyAlignment="1" applyProtection="1">
      <alignment horizontal="center" vertical="center" wrapText="1"/>
    </xf>
    <xf numFmtId="168" fontId="21" fillId="18" borderId="38" xfId="0" applyNumberFormat="1" applyFont="1" applyFill="1" applyBorder="1" applyAlignment="1" applyProtection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25" fillId="9" borderId="26" xfId="0" applyFont="1" applyFill="1" applyBorder="1" applyAlignment="1">
      <alignment horizontal="center" vertical="center" wrapText="1"/>
    </xf>
    <xf numFmtId="170" fontId="25" fillId="8" borderId="26" xfId="0" applyNumberFormat="1" applyFont="1" applyFill="1" applyBorder="1" applyAlignment="1">
      <alignment horizontal="center" vertical="center" wrapText="1"/>
    </xf>
    <xf numFmtId="1" fontId="25" fillId="8" borderId="20" xfId="0" applyNumberFormat="1" applyFont="1" applyFill="1" applyBorder="1" applyAlignment="1">
      <alignment horizontal="center" vertical="center" wrapText="1"/>
    </xf>
    <xf numFmtId="0" fontId="25" fillId="11" borderId="34" xfId="0" applyFont="1" applyFill="1" applyBorder="1" applyAlignment="1">
      <alignment horizontal="center" vertical="center" wrapText="1"/>
    </xf>
    <xf numFmtId="0" fontId="73" fillId="18" borderId="22" xfId="0" applyFont="1" applyFill="1" applyBorder="1" applyAlignment="1" applyProtection="1">
      <alignment horizontal="center" vertical="center" wrapText="1"/>
    </xf>
    <xf numFmtId="0" fontId="73" fillId="18" borderId="23" xfId="0" applyFont="1" applyFill="1" applyBorder="1" applyAlignment="1" applyProtection="1">
      <alignment horizontal="center" vertical="center" wrapText="1"/>
    </xf>
    <xf numFmtId="168" fontId="73" fillId="18" borderId="22" xfId="0" applyNumberFormat="1" applyFont="1" applyFill="1" applyBorder="1" applyAlignment="1" applyProtection="1">
      <alignment horizontal="center" vertical="center" wrapText="1"/>
    </xf>
    <xf numFmtId="1" fontId="73" fillId="18" borderId="37" xfId="0" applyNumberFormat="1" applyFont="1" applyFill="1" applyBorder="1" applyAlignment="1" applyProtection="1">
      <alignment horizontal="center" vertical="center" wrapText="1"/>
    </xf>
    <xf numFmtId="0" fontId="25" fillId="7" borderId="47" xfId="0" applyFont="1" applyFill="1" applyBorder="1" applyAlignment="1">
      <alignment horizontal="center" vertical="center" wrapText="1"/>
    </xf>
    <xf numFmtId="0" fontId="33" fillId="9" borderId="26" xfId="0" applyFont="1" applyFill="1" applyBorder="1" applyAlignment="1">
      <alignment horizontal="center" vertical="center" wrapText="1"/>
    </xf>
    <xf numFmtId="169" fontId="25" fillId="8" borderId="26" xfId="0" applyNumberFormat="1" applyFont="1" applyFill="1" applyBorder="1" applyAlignment="1">
      <alignment horizontal="center" vertical="center" wrapText="1"/>
    </xf>
    <xf numFmtId="1" fontId="25" fillId="8" borderId="0" xfId="0" applyNumberFormat="1" applyFont="1" applyFill="1" applyBorder="1" applyAlignment="1">
      <alignment horizontal="center" vertical="center" wrapText="1"/>
    </xf>
    <xf numFmtId="0" fontId="74" fillId="18" borderId="24" xfId="0" applyFont="1" applyFill="1" applyBorder="1" applyAlignment="1">
      <alignment horizontal="center" vertical="center" wrapText="1"/>
    </xf>
    <xf numFmtId="0" fontId="25" fillId="6" borderId="35" xfId="0" applyFont="1" applyFill="1" applyBorder="1" applyAlignment="1">
      <alignment horizontal="center" vertical="center" wrapText="1"/>
    </xf>
    <xf numFmtId="0" fontId="32" fillId="10" borderId="35" xfId="0" applyFont="1" applyFill="1" applyBorder="1" applyAlignment="1">
      <alignment horizontal="center" vertical="center" wrapText="1"/>
    </xf>
    <xf numFmtId="0" fontId="25" fillId="11" borderId="35" xfId="0" applyFont="1" applyFill="1" applyBorder="1" applyAlignment="1">
      <alignment horizontal="center" vertical="center" wrapText="1"/>
    </xf>
    <xf numFmtId="0" fontId="25" fillId="5" borderId="35" xfId="0" applyFont="1" applyFill="1" applyBorder="1" applyAlignment="1">
      <alignment horizontal="center" vertical="center" wrapText="1"/>
    </xf>
    <xf numFmtId="0" fontId="74" fillId="18" borderId="22" xfId="0" applyFont="1" applyFill="1" applyBorder="1" applyAlignment="1" applyProtection="1">
      <alignment horizontal="center" vertical="center" wrapText="1"/>
    </xf>
    <xf numFmtId="1" fontId="74" fillId="18" borderId="50" xfId="0" applyNumberFormat="1" applyFont="1" applyFill="1" applyBorder="1" applyAlignment="1" applyProtection="1">
      <alignment horizontal="center" vertical="center" wrapText="1"/>
    </xf>
    <xf numFmtId="0" fontId="75" fillId="18" borderId="22" xfId="0" applyFont="1" applyFill="1" applyBorder="1" applyAlignment="1" applyProtection="1">
      <alignment horizontal="center" vertical="center" wrapText="1"/>
    </xf>
    <xf numFmtId="168" fontId="74" fillId="18" borderId="38" xfId="0" applyNumberFormat="1" applyFont="1" applyFill="1" applyBorder="1" applyAlignment="1" applyProtection="1">
      <alignment horizontal="center" vertical="center" wrapText="1"/>
    </xf>
    <xf numFmtId="168" fontId="75" fillId="18" borderId="38" xfId="0" applyNumberFormat="1" applyFont="1" applyFill="1" applyBorder="1" applyAlignment="1" applyProtection="1">
      <alignment horizontal="center" vertical="center" wrapText="1"/>
    </xf>
    <xf numFmtId="1" fontId="75" fillId="18" borderId="37" xfId="0" applyNumberFormat="1" applyFont="1" applyFill="1" applyBorder="1" applyAlignment="1" applyProtection="1">
      <alignment horizontal="center" vertical="center" wrapText="1"/>
    </xf>
    <xf numFmtId="1" fontId="25" fillId="8" borderId="49" xfId="0" applyNumberFormat="1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horizontal="center" vertical="center" wrapText="1"/>
    </xf>
    <xf numFmtId="0" fontId="74" fillId="18" borderId="28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44" fillId="0" borderId="0" xfId="0" applyFont="1" applyFill="1" applyBorder="1" applyAlignment="1" applyProtection="1">
      <alignment horizontal="left"/>
      <protection locked="0"/>
    </xf>
    <xf numFmtId="0" fontId="75" fillId="18" borderId="38" xfId="0" applyFont="1" applyFill="1" applyBorder="1" applyAlignment="1" applyProtection="1">
      <alignment horizontal="center" vertical="center" wrapText="1"/>
    </xf>
    <xf numFmtId="1" fontId="75" fillId="18" borderId="19" xfId="0" applyNumberFormat="1" applyFont="1" applyFill="1" applyBorder="1" applyAlignment="1" applyProtection="1">
      <alignment horizontal="center" vertical="center" wrapText="1"/>
    </xf>
    <xf numFmtId="169" fontId="75" fillId="18" borderId="38" xfId="0" applyNumberFormat="1" applyFont="1" applyFill="1" applyBorder="1" applyAlignment="1" applyProtection="1">
      <alignment horizontal="center" vertical="center" wrapText="1"/>
    </xf>
    <xf numFmtId="0" fontId="75" fillId="18" borderId="23" xfId="0" applyFont="1" applyFill="1" applyBorder="1" applyAlignment="1" applyProtection="1">
      <alignment horizontal="center" vertical="center" wrapText="1"/>
    </xf>
    <xf numFmtId="0" fontId="32" fillId="10" borderId="26" xfId="0" applyFont="1" applyFill="1" applyBorder="1" applyAlignment="1">
      <alignment horizontal="center" vertical="center" wrapText="1"/>
    </xf>
    <xf numFmtId="0" fontId="74" fillId="18" borderId="54" xfId="0" applyFont="1" applyFill="1" applyBorder="1" applyAlignment="1">
      <alignment horizontal="center" vertical="center" wrapText="1"/>
    </xf>
    <xf numFmtId="0" fontId="78" fillId="9" borderId="60" xfId="0" applyFont="1" applyFill="1" applyBorder="1" applyAlignment="1" applyProtection="1">
      <alignment horizontal="center" vertical="center"/>
      <protection locked="0"/>
    </xf>
    <xf numFmtId="0" fontId="78" fillId="9" borderId="0" xfId="0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>
      <alignment horizontal="center" vertical="center"/>
    </xf>
    <xf numFmtId="45" fontId="25" fillId="28" borderId="42" xfId="0" applyNumberFormat="1" applyFont="1" applyFill="1" applyBorder="1" applyAlignment="1">
      <alignment horizontal="center" vertical="center" wrapText="1"/>
    </xf>
    <xf numFmtId="45" fontId="25" fillId="28" borderId="34" xfId="0" applyNumberFormat="1" applyFont="1" applyFill="1" applyBorder="1" applyAlignment="1">
      <alignment horizontal="center" vertical="center" wrapText="1"/>
    </xf>
    <xf numFmtId="45" fontId="25" fillId="28" borderId="26" xfId="0" applyNumberFormat="1" applyFont="1" applyFill="1" applyBorder="1" applyAlignment="1">
      <alignment horizontal="center" vertical="center" wrapText="1"/>
    </xf>
    <xf numFmtId="1" fontId="25" fillId="28" borderId="34" xfId="0" applyNumberFormat="1" applyFont="1" applyFill="1" applyBorder="1" applyAlignment="1">
      <alignment horizontal="center" vertical="center" wrapText="1"/>
    </xf>
    <xf numFmtId="1" fontId="25" fillId="28" borderId="43" xfId="0" applyNumberFormat="1" applyFont="1" applyFill="1" applyBorder="1" applyAlignment="1">
      <alignment horizontal="center" vertical="center" wrapText="1"/>
    </xf>
    <xf numFmtId="1" fontId="25" fillId="28" borderId="45" xfId="0" applyNumberFormat="1" applyFont="1" applyFill="1" applyBorder="1" applyAlignment="1">
      <alignment horizontal="center" vertical="center" wrapText="1"/>
    </xf>
    <xf numFmtId="1" fontId="25" fillId="28" borderId="20" xfId="0" applyNumberFormat="1" applyFont="1" applyFill="1" applyBorder="1" applyAlignment="1">
      <alignment horizontal="center" vertical="center" wrapText="1"/>
    </xf>
    <xf numFmtId="0" fontId="25" fillId="31" borderId="42" xfId="0" applyFont="1" applyFill="1" applyBorder="1" applyAlignment="1">
      <alignment horizontal="center" vertical="center" wrapText="1"/>
    </xf>
    <xf numFmtId="0" fontId="25" fillId="31" borderId="34" xfId="0" applyFont="1" applyFill="1" applyBorder="1" applyAlignment="1">
      <alignment horizontal="center" vertical="center" wrapText="1"/>
    </xf>
    <xf numFmtId="0" fontId="25" fillId="32" borderId="34" xfId="0" applyFont="1" applyFill="1" applyBorder="1" applyAlignment="1">
      <alignment horizontal="center" vertical="center" wrapText="1"/>
    </xf>
    <xf numFmtId="1" fontId="25" fillId="28" borderId="40" xfId="0" applyNumberFormat="1" applyFont="1" applyFill="1" applyBorder="1" applyAlignment="1">
      <alignment horizontal="center" vertical="center" wrapText="1"/>
    </xf>
    <xf numFmtId="1" fontId="25" fillId="28" borderId="28" xfId="0" applyNumberFormat="1" applyFont="1" applyFill="1" applyBorder="1" applyAlignment="1">
      <alignment horizontal="center" vertical="center" wrapText="1"/>
    </xf>
    <xf numFmtId="1" fontId="25" fillId="28" borderId="0" xfId="0" applyNumberFormat="1" applyFont="1" applyFill="1" applyBorder="1" applyAlignment="1">
      <alignment horizontal="center" vertical="center" wrapText="1"/>
    </xf>
    <xf numFmtId="0" fontId="74" fillId="35" borderId="44" xfId="0" applyFont="1" applyFill="1" applyBorder="1" applyAlignment="1">
      <alignment horizontal="center" vertical="center" wrapText="1"/>
    </xf>
    <xf numFmtId="0" fontId="74" fillId="35" borderId="46" xfId="0" applyFont="1" applyFill="1" applyBorder="1" applyAlignment="1">
      <alignment horizontal="center" vertical="center" wrapText="1"/>
    </xf>
    <xf numFmtId="0" fontId="74" fillId="35" borderId="39" xfId="0" applyFont="1" applyFill="1" applyBorder="1" applyAlignment="1">
      <alignment horizontal="center" vertical="center" wrapText="1"/>
    </xf>
    <xf numFmtId="45" fontId="25" fillId="28" borderId="35" xfId="0" applyNumberFormat="1" applyFont="1" applyFill="1" applyBorder="1" applyAlignment="1">
      <alignment horizontal="center" vertical="center" wrapText="1"/>
    </xf>
    <xf numFmtId="1" fontId="25" fillId="28" borderId="53" xfId="0" applyNumberFormat="1" applyFont="1" applyFill="1" applyBorder="1" applyAlignment="1">
      <alignment horizontal="center" vertical="center" wrapText="1"/>
    </xf>
    <xf numFmtId="0" fontId="68" fillId="29" borderId="24" xfId="0" applyFont="1" applyFill="1" applyBorder="1" applyAlignment="1">
      <alignment horizontal="right" vertical="center" wrapText="1"/>
    </xf>
    <xf numFmtId="0" fontId="69" fillId="36" borderId="27" xfId="0" applyFont="1" applyFill="1" applyBorder="1" applyAlignment="1">
      <alignment horizontal="right" vertical="center"/>
    </xf>
    <xf numFmtId="0" fontId="69" fillId="36" borderId="24" xfId="0" applyFont="1" applyFill="1" applyBorder="1" applyAlignment="1">
      <alignment horizontal="right" vertical="center"/>
    </xf>
    <xf numFmtId="0" fontId="68" fillId="36" borderId="27" xfId="0" applyFont="1" applyFill="1" applyBorder="1" applyAlignment="1">
      <alignment horizontal="right" vertical="center" wrapText="1"/>
    </xf>
    <xf numFmtId="0" fontId="68" fillId="36" borderId="21" xfId="0" applyFont="1" applyFill="1" applyBorder="1" applyAlignment="1">
      <alignment horizontal="right" vertical="center" wrapText="1"/>
    </xf>
    <xf numFmtId="0" fontId="68" fillId="30" borderId="27" xfId="0" applyFont="1" applyFill="1" applyBorder="1" applyAlignment="1">
      <alignment horizontal="right" vertical="center" wrapText="1"/>
    </xf>
    <xf numFmtId="0" fontId="68" fillId="29" borderId="27" xfId="0" applyFont="1" applyFill="1" applyBorder="1" applyAlignment="1">
      <alignment horizontal="right" vertical="center" wrapText="1"/>
    </xf>
    <xf numFmtId="0" fontId="68" fillId="29" borderId="35" xfId="0" applyFont="1" applyFill="1" applyBorder="1" applyAlignment="1" applyProtection="1">
      <alignment horizontal="right" vertical="center" wrapText="1"/>
    </xf>
    <xf numFmtId="0" fontId="68" fillId="29" borderId="26" xfId="0" applyFont="1" applyFill="1" applyBorder="1" applyAlignment="1" applyProtection="1">
      <alignment horizontal="right" vertical="center" wrapText="1"/>
    </xf>
    <xf numFmtId="0" fontId="68" fillId="34" borderId="35" xfId="0" applyFont="1" applyFill="1" applyBorder="1" applyAlignment="1" applyProtection="1">
      <alignment horizontal="right" vertical="center" wrapText="1"/>
    </xf>
    <xf numFmtId="0" fontId="68" fillId="34" borderId="34" xfId="0" applyFont="1" applyFill="1" applyBorder="1" applyAlignment="1" applyProtection="1">
      <alignment horizontal="right" vertical="center" wrapText="1"/>
    </xf>
    <xf numFmtId="169" fontId="36" fillId="38" borderId="28" xfId="0" applyNumberFormat="1" applyFont="1" applyFill="1" applyBorder="1" applyAlignment="1" applyProtection="1">
      <alignment horizontal="center" vertical="center"/>
    </xf>
    <xf numFmtId="21" fontId="4" fillId="37" borderId="34" xfId="0" applyNumberFormat="1" applyFont="1" applyFill="1" applyBorder="1" applyAlignment="1">
      <alignment horizontal="center" vertical="center"/>
    </xf>
    <xf numFmtId="0" fontId="68" fillId="34" borderId="0" xfId="0" applyFont="1" applyFill="1" applyBorder="1" applyAlignment="1" applyProtection="1">
      <alignment horizontal="right" vertical="center" wrapText="1"/>
    </xf>
    <xf numFmtId="0" fontId="69" fillId="34" borderId="0" xfId="0" applyFont="1" applyFill="1" applyBorder="1" applyAlignment="1">
      <alignment vertical="center"/>
    </xf>
    <xf numFmtId="0" fontId="68" fillId="34" borderId="0" xfId="0" applyFont="1" applyFill="1" applyBorder="1" applyAlignment="1" applyProtection="1">
      <alignment horizontal="center" vertical="center" wrapText="1"/>
    </xf>
    <xf numFmtId="49" fontId="69" fillId="34" borderId="0" xfId="0" applyNumberFormat="1" applyFont="1" applyFill="1" applyBorder="1" applyAlignment="1" applyProtection="1">
      <alignment horizontal="center" vertical="center"/>
    </xf>
    <xf numFmtId="21" fontId="69" fillId="34" borderId="30" xfId="0" applyNumberFormat="1" applyFont="1" applyFill="1" applyBorder="1" applyAlignment="1" applyProtection="1">
      <alignment horizontal="center" vertical="center"/>
    </xf>
    <xf numFmtId="0" fontId="16" fillId="36" borderId="0" xfId="0" applyFont="1" applyFill="1" applyBorder="1" applyAlignment="1" applyProtection="1">
      <alignment horizontal="right" vertical="center" wrapText="1"/>
    </xf>
    <xf numFmtId="169" fontId="35" fillId="36" borderId="0" xfId="0" applyNumberFormat="1" applyFont="1" applyFill="1" applyBorder="1" applyAlignment="1" applyProtection="1">
      <alignment horizontal="center" vertical="center"/>
    </xf>
    <xf numFmtId="0" fontId="70" fillId="39" borderId="34" xfId="0" applyFont="1" applyFill="1" applyBorder="1" applyAlignment="1" applyProtection="1">
      <alignment horizontal="left" vertical="center" wrapText="1" indent="1"/>
    </xf>
    <xf numFmtId="1" fontId="35" fillId="40" borderId="27" xfId="0" applyNumberFormat="1" applyFont="1" applyFill="1" applyBorder="1" applyAlignment="1">
      <alignment horizontal="center" vertical="center"/>
    </xf>
    <xf numFmtId="1" fontId="35" fillId="40" borderId="21" xfId="0" applyNumberFormat="1" applyFont="1" applyFill="1" applyBorder="1" applyAlignment="1">
      <alignment horizontal="center" vertical="center"/>
    </xf>
    <xf numFmtId="49" fontId="35" fillId="41" borderId="27" xfId="0" applyNumberFormat="1" applyFont="1" applyFill="1" applyBorder="1" applyAlignment="1">
      <alignment horizontal="center" vertical="center"/>
    </xf>
    <xf numFmtId="1" fontId="35" fillId="41" borderId="27" xfId="0" applyNumberFormat="1" applyFont="1" applyFill="1" applyBorder="1" applyAlignment="1">
      <alignment horizontal="center" vertical="center"/>
    </xf>
    <xf numFmtId="2" fontId="35" fillId="41" borderId="27" xfId="0" applyNumberFormat="1" applyFont="1" applyFill="1" applyBorder="1" applyAlignment="1">
      <alignment horizontal="center" vertical="center"/>
    </xf>
    <xf numFmtId="2" fontId="4" fillId="41" borderId="27" xfId="0" applyNumberFormat="1" applyFont="1" applyFill="1" applyBorder="1" applyAlignment="1">
      <alignment horizontal="center" vertical="center"/>
    </xf>
    <xf numFmtId="164" fontId="35" fillId="41" borderId="24" xfId="0" applyNumberFormat="1" applyFont="1" applyFill="1" applyBorder="1" applyAlignment="1">
      <alignment horizontal="center" vertical="center"/>
    </xf>
    <xf numFmtId="21" fontId="35" fillId="41" borderId="34" xfId="0" applyNumberFormat="1" applyFont="1" applyFill="1" applyBorder="1" applyAlignment="1">
      <alignment horizontal="center" vertical="center"/>
    </xf>
    <xf numFmtId="2" fontId="35" fillId="41" borderId="34" xfId="0" applyNumberFormat="1" applyFont="1" applyFill="1" applyBorder="1" applyAlignment="1">
      <alignment horizontal="center" vertical="center"/>
    </xf>
    <xf numFmtId="1" fontId="35" fillId="41" borderId="34" xfId="0" applyNumberFormat="1" applyFont="1" applyFill="1" applyBorder="1" applyAlignment="1">
      <alignment horizontal="center" vertical="center"/>
    </xf>
    <xf numFmtId="21" fontId="35" fillId="42" borderId="34" xfId="0" applyNumberFormat="1" applyFont="1" applyFill="1" applyBorder="1" applyAlignment="1">
      <alignment horizontal="center" vertical="center"/>
    </xf>
    <xf numFmtId="45" fontId="35" fillId="33" borderId="30" xfId="0" applyNumberFormat="1" applyFont="1" applyFill="1" applyBorder="1" applyAlignment="1" applyProtection="1">
      <alignment horizontal="center" vertical="center"/>
    </xf>
    <xf numFmtId="45" fontId="35" fillId="33" borderId="28" xfId="0" applyNumberFormat="1" applyFont="1" applyFill="1" applyBorder="1" applyAlignment="1" applyProtection="1">
      <alignment horizontal="center" vertical="center"/>
    </xf>
    <xf numFmtId="0" fontId="58" fillId="34" borderId="0" xfId="0" applyFont="1" applyFill="1" applyBorder="1" applyAlignment="1">
      <alignment horizontal="left" indent="1"/>
    </xf>
    <xf numFmtId="0" fontId="59" fillId="34" borderId="0" xfId="0" applyFont="1" applyFill="1" applyBorder="1" applyAlignment="1">
      <alignment horizontal="left" indent="1"/>
    </xf>
    <xf numFmtId="0" fontId="81" fillId="34" borderId="0" xfId="0" applyFont="1" applyFill="1" applyBorder="1" applyAlignment="1">
      <alignment horizontal="left" indent="1"/>
    </xf>
    <xf numFmtId="0" fontId="45" fillId="34" borderId="0" xfId="0" applyFont="1" applyFill="1" applyBorder="1" applyAlignment="1">
      <alignment horizontal="left" indent="1"/>
    </xf>
    <xf numFmtId="0" fontId="53" fillId="34" borderId="0" xfId="0" applyFont="1" applyFill="1" applyBorder="1" applyAlignment="1">
      <alignment horizontal="left" indent="1"/>
    </xf>
    <xf numFmtId="0" fontId="38" fillId="34" borderId="0" xfId="0" applyFont="1" applyFill="1" applyBorder="1" applyAlignment="1">
      <alignment horizontal="center"/>
    </xf>
    <xf numFmtId="0" fontId="39" fillId="34" borderId="0" xfId="0" applyFont="1" applyFill="1" applyBorder="1" applyAlignment="1">
      <alignment horizontal="center"/>
    </xf>
    <xf numFmtId="0" fontId="83" fillId="0" borderId="0" xfId="0" applyFont="1"/>
    <xf numFmtId="0" fontId="66" fillId="0" borderId="0" xfId="0" applyFont="1" applyFill="1" applyBorder="1" applyAlignment="1">
      <alignment horizontal="right" vertical="center"/>
    </xf>
    <xf numFmtId="167" fontId="84" fillId="31" borderId="0" xfId="0" applyNumberFormat="1" applyFont="1" applyFill="1" applyBorder="1" applyAlignment="1" applyProtection="1">
      <alignment horizontal="center" vertical="center"/>
      <protection hidden="1"/>
    </xf>
    <xf numFmtId="167" fontId="84" fillId="31" borderId="28" xfId="0" applyNumberFormat="1" applyFont="1" applyFill="1" applyBorder="1" applyAlignment="1" applyProtection="1">
      <alignment horizontal="center" vertical="center"/>
      <protection hidden="1"/>
    </xf>
    <xf numFmtId="167" fontId="84" fillId="31" borderId="27" xfId="0" applyNumberFormat="1" applyFont="1" applyFill="1" applyBorder="1" applyAlignment="1" applyProtection="1">
      <alignment horizontal="center" vertical="center"/>
      <protection hidden="1"/>
    </xf>
    <xf numFmtId="167" fontId="84" fillId="31" borderId="21" xfId="0" applyNumberFormat="1" applyFont="1" applyFill="1" applyBorder="1" applyAlignment="1" applyProtection="1">
      <alignment horizontal="center" vertical="center"/>
      <protection hidden="1"/>
    </xf>
    <xf numFmtId="0" fontId="85" fillId="43" borderId="0" xfId="0" applyFont="1" applyFill="1" applyBorder="1" applyAlignment="1">
      <alignment vertical="center"/>
    </xf>
    <xf numFmtId="169" fontId="86" fillId="43" borderId="59" xfId="0" applyNumberFormat="1" applyFont="1" applyFill="1" applyBorder="1" applyAlignment="1" applyProtection="1">
      <alignment horizontal="center" vertical="center"/>
      <protection hidden="1"/>
    </xf>
    <xf numFmtId="167" fontId="84" fillId="31" borderId="24" xfId="0" applyNumberFormat="1" applyFont="1" applyFill="1" applyBorder="1" applyAlignment="1" applyProtection="1">
      <alignment horizontal="center" vertical="center"/>
      <protection hidden="1"/>
    </xf>
    <xf numFmtId="167" fontId="84" fillId="31" borderId="30" xfId="0" applyNumberFormat="1" applyFont="1" applyFill="1" applyBorder="1" applyAlignment="1" applyProtection="1">
      <alignment horizontal="center" vertical="center"/>
      <protection hidden="1"/>
    </xf>
    <xf numFmtId="0" fontId="78" fillId="36" borderId="30" xfId="0" applyFont="1" applyFill="1" applyBorder="1" applyAlignment="1">
      <alignment horizontal="center" vertical="center"/>
    </xf>
    <xf numFmtId="0" fontId="61" fillId="44" borderId="0" xfId="0" applyFont="1" applyFill="1" applyBorder="1" applyAlignment="1" applyProtection="1">
      <alignment horizontal="center" vertical="center"/>
      <protection locked="0"/>
    </xf>
    <xf numFmtId="0" fontId="40" fillId="34" borderId="66" xfId="0" applyFont="1" applyFill="1" applyBorder="1"/>
    <xf numFmtId="0" fontId="40" fillId="34" borderId="0" xfId="0" applyFont="1" applyFill="1" applyBorder="1"/>
    <xf numFmtId="0" fontId="79" fillId="34" borderId="0" xfId="0" applyFont="1" applyFill="1" applyBorder="1" applyAlignment="1">
      <alignment horizontal="center" vertical="center"/>
    </xf>
    <xf numFmtId="0" fontId="40" fillId="34" borderId="57" xfId="0" applyFont="1" applyFill="1" applyBorder="1"/>
    <xf numFmtId="0" fontId="40" fillId="34" borderId="58" xfId="0" applyFont="1" applyFill="1" applyBorder="1"/>
    <xf numFmtId="0" fontId="1" fillId="34" borderId="0" xfId="0" applyFont="1" applyFill="1" applyBorder="1"/>
    <xf numFmtId="0" fontId="1" fillId="34" borderId="61" xfId="0" applyFont="1" applyFill="1" applyBorder="1"/>
    <xf numFmtId="0" fontId="61" fillId="31" borderId="60" xfId="0" applyFont="1" applyFill="1" applyBorder="1" applyAlignment="1">
      <alignment horizontal="center" vertical="center"/>
    </xf>
    <xf numFmtId="0" fontId="61" fillId="31" borderId="57" xfId="0" applyFont="1" applyFill="1" applyBorder="1" applyAlignment="1">
      <alignment horizontal="center" vertical="center"/>
    </xf>
    <xf numFmtId="0" fontId="29" fillId="28" borderId="42" xfId="0" applyFont="1" applyFill="1" applyBorder="1"/>
    <xf numFmtId="1" fontId="29" fillId="28" borderId="43" xfId="0" applyNumberFormat="1" applyFont="1" applyFill="1" applyBorder="1"/>
    <xf numFmtId="1" fontId="25" fillId="28" borderId="18" xfId="0" applyNumberFormat="1" applyFont="1" applyFill="1" applyBorder="1" applyAlignment="1">
      <alignment horizontal="center" vertical="center" wrapText="1"/>
    </xf>
    <xf numFmtId="1" fontId="25" fillId="28" borderId="25" xfId="0" applyNumberFormat="1" applyFont="1" applyFill="1" applyBorder="1" applyAlignment="1">
      <alignment horizontal="center" vertical="center" wrapText="1"/>
    </xf>
    <xf numFmtId="0" fontId="25" fillId="31" borderId="35" xfId="0" applyFont="1" applyFill="1" applyBorder="1" applyAlignment="1">
      <alignment horizontal="center" vertical="center" wrapText="1"/>
    </xf>
    <xf numFmtId="1" fontId="25" fillId="28" borderId="51" xfId="0" applyNumberFormat="1" applyFont="1" applyFill="1" applyBorder="1" applyAlignment="1">
      <alignment horizontal="center" vertical="center" wrapText="1"/>
    </xf>
    <xf numFmtId="1" fontId="25" fillId="28" borderId="35" xfId="0" applyNumberFormat="1" applyFont="1" applyFill="1" applyBorder="1" applyAlignment="1">
      <alignment horizontal="center" vertical="center" wrapText="1"/>
    </xf>
    <xf numFmtId="1" fontId="25" fillId="28" borderId="49" xfId="0" applyNumberFormat="1" applyFont="1" applyFill="1" applyBorder="1" applyAlignment="1">
      <alignment horizontal="center" vertical="center" wrapText="1"/>
    </xf>
    <xf numFmtId="0" fontId="25" fillId="32" borderId="35" xfId="0" applyFont="1" applyFill="1" applyBorder="1" applyAlignment="1">
      <alignment horizontal="center" vertical="center" wrapText="1"/>
    </xf>
    <xf numFmtId="1" fontId="25" fillId="28" borderId="30" xfId="0" applyNumberFormat="1" applyFont="1" applyFill="1" applyBorder="1" applyAlignment="1">
      <alignment horizontal="center" vertical="center" wrapText="1"/>
    </xf>
    <xf numFmtId="0" fontId="25" fillId="31" borderId="26" xfId="0" applyFont="1" applyFill="1" applyBorder="1" applyAlignment="1">
      <alignment horizontal="center" vertical="center" wrapText="1"/>
    </xf>
    <xf numFmtId="45" fontId="25" fillId="28" borderId="27" xfId="0" applyNumberFormat="1" applyFont="1" applyFill="1" applyBorder="1" applyAlignment="1">
      <alignment horizontal="center" vertical="center" wrapText="1"/>
    </xf>
    <xf numFmtId="1" fontId="25" fillId="28" borderId="52" xfId="0" applyNumberFormat="1" applyFont="1" applyFill="1" applyBorder="1" applyAlignment="1">
      <alignment horizontal="center" vertical="center" wrapText="1"/>
    </xf>
    <xf numFmtId="45" fontId="25" fillId="28" borderId="41" xfId="0" applyNumberFormat="1" applyFont="1" applyFill="1" applyBorder="1" applyAlignment="1">
      <alignment horizontal="center" vertical="center" wrapText="1"/>
    </xf>
    <xf numFmtId="1" fontId="25" fillId="28" borderId="27" xfId="0" applyNumberFormat="1" applyFont="1" applyFill="1" applyBorder="1" applyAlignment="1">
      <alignment horizontal="center" vertical="center" wrapText="1"/>
    </xf>
    <xf numFmtId="45" fontId="25" fillId="28" borderId="48" xfId="0" applyNumberFormat="1" applyFont="1" applyFill="1" applyBorder="1" applyAlignment="1">
      <alignment horizontal="center" vertical="center" wrapText="1"/>
    </xf>
    <xf numFmtId="0" fontId="87" fillId="45" borderId="21" xfId="0" applyFont="1" applyFill="1" applyBorder="1" applyAlignment="1">
      <alignment horizontal="center" vertical="center"/>
    </xf>
    <xf numFmtId="0" fontId="88" fillId="45" borderId="21" xfId="0" applyFont="1" applyFill="1" applyBorder="1" applyAlignment="1">
      <alignment horizontal="center" vertical="center"/>
    </xf>
    <xf numFmtId="0" fontId="78" fillId="45" borderId="24" xfId="0" applyFont="1" applyFill="1" applyBorder="1" applyAlignment="1">
      <alignment horizontal="center" vertical="center"/>
    </xf>
    <xf numFmtId="9" fontId="87" fillId="45" borderId="27" xfId="0" applyNumberFormat="1" applyFont="1" applyFill="1" applyBorder="1" applyAlignment="1">
      <alignment horizontal="center" vertical="center"/>
    </xf>
    <xf numFmtId="9" fontId="87" fillId="45" borderId="21" xfId="0" applyNumberFormat="1" applyFont="1" applyFill="1" applyBorder="1" applyAlignment="1">
      <alignment horizontal="center" vertical="center"/>
    </xf>
    <xf numFmtId="0" fontId="78" fillId="36" borderId="24" xfId="0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left" indent="1"/>
    </xf>
    <xf numFmtId="0" fontId="18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5" fillId="36" borderId="0" xfId="0" applyFont="1" applyFill="1" applyBorder="1" applyAlignment="1" applyProtection="1">
      <alignment horizontal="left" vertical="center" indent="1"/>
    </xf>
    <xf numFmtId="0" fontId="14" fillId="8" borderId="9" xfId="0" applyFont="1" applyFill="1" applyBorder="1" applyAlignment="1" applyProtection="1">
      <alignment horizontal="center" wrapText="1"/>
    </xf>
    <xf numFmtId="0" fontId="14" fillId="8" borderId="0" xfId="0" applyFont="1" applyFill="1" applyBorder="1" applyAlignment="1" applyProtection="1">
      <alignment horizontal="center" wrapText="1"/>
    </xf>
    <xf numFmtId="0" fontId="0" fillId="8" borderId="0" xfId="0" applyFill="1" applyBorder="1" applyAlignment="1" applyProtection="1">
      <alignment horizontal="center"/>
    </xf>
    <xf numFmtId="0" fontId="0" fillId="8" borderId="10" xfId="0" applyFill="1" applyBorder="1" applyAlignment="1" applyProtection="1">
      <alignment horizontal="center"/>
    </xf>
    <xf numFmtId="0" fontId="56" fillId="36" borderId="17" xfId="0" applyFont="1" applyFill="1" applyBorder="1" applyAlignment="1">
      <alignment horizontal="center" vertical="center"/>
    </xf>
    <xf numFmtId="0" fontId="56" fillId="36" borderId="15" xfId="0" applyFont="1" applyFill="1" applyBorder="1" applyAlignment="1">
      <alignment horizontal="center" vertical="center"/>
    </xf>
    <xf numFmtId="0" fontId="56" fillId="36" borderId="16" xfId="0" applyFont="1" applyFill="1" applyBorder="1" applyAlignment="1">
      <alignment horizontal="center" vertical="center"/>
    </xf>
    <xf numFmtId="0" fontId="61" fillId="19" borderId="0" xfId="0" applyFont="1" applyFill="1" applyBorder="1" applyAlignment="1" applyProtection="1">
      <alignment horizontal="left" vertical="center" wrapText="1" indent="2"/>
    </xf>
    <xf numFmtId="0" fontId="66" fillId="19" borderId="0" xfId="0" applyFont="1" applyFill="1" applyBorder="1" applyAlignment="1" applyProtection="1">
      <alignment horizontal="left" vertical="center" wrapText="1" indent="2"/>
    </xf>
    <xf numFmtId="0" fontId="59" fillId="34" borderId="0" xfId="0" applyFont="1" applyFill="1" applyBorder="1" applyAlignment="1">
      <alignment horizontal="left" indent="1"/>
    </xf>
    <xf numFmtId="0" fontId="48" fillId="34" borderId="0" xfId="0" applyFont="1" applyFill="1" applyBorder="1" applyAlignment="1">
      <alignment horizontal="left" indent="1"/>
    </xf>
    <xf numFmtId="0" fontId="56" fillId="36" borderId="48" xfId="0" applyFont="1" applyFill="1" applyBorder="1" applyAlignment="1">
      <alignment horizontal="center" vertical="center"/>
    </xf>
    <xf numFmtId="0" fontId="67" fillId="20" borderId="31" xfId="0" applyFont="1" applyFill="1" applyBorder="1" applyAlignment="1" applyProtection="1">
      <alignment horizontal="center" vertical="center"/>
    </xf>
    <xf numFmtId="0" fontId="67" fillId="20" borderId="29" xfId="0" applyFont="1" applyFill="1" applyBorder="1" applyAlignment="1">
      <alignment horizontal="center" vertical="center"/>
    </xf>
    <xf numFmtId="0" fontId="56" fillId="36" borderId="31" xfId="0" applyFont="1" applyFill="1" applyBorder="1" applyAlignment="1" applyProtection="1">
      <alignment horizontal="center" vertical="center"/>
    </xf>
    <xf numFmtId="0" fontId="56" fillId="36" borderId="64" xfId="0" applyFont="1" applyFill="1" applyBorder="1" applyAlignment="1" applyProtection="1">
      <alignment horizontal="center" vertical="center"/>
    </xf>
    <xf numFmtId="0" fontId="56" fillId="36" borderId="65" xfId="0" applyFont="1" applyFill="1" applyBorder="1" applyAlignment="1" applyProtection="1">
      <alignment horizontal="center" vertical="center"/>
    </xf>
    <xf numFmtId="0" fontId="56" fillId="36" borderId="33" xfId="0" applyFont="1" applyFill="1" applyBorder="1" applyAlignment="1">
      <alignment horizontal="center" vertical="center"/>
    </xf>
    <xf numFmtId="0" fontId="56" fillId="36" borderId="62" xfId="0" applyFont="1" applyFill="1" applyBorder="1" applyAlignment="1">
      <alignment horizontal="center" vertical="center"/>
    </xf>
    <xf numFmtId="0" fontId="56" fillId="36" borderId="63" xfId="0" applyFont="1" applyFill="1" applyBorder="1" applyAlignment="1">
      <alignment horizontal="center" vertical="center"/>
    </xf>
    <xf numFmtId="0" fontId="67" fillId="22" borderId="31" xfId="0" applyFont="1" applyFill="1" applyBorder="1" applyAlignment="1">
      <alignment horizontal="center" vertical="center"/>
    </xf>
    <xf numFmtId="0" fontId="67" fillId="22" borderId="29" xfId="0" applyFont="1" applyFill="1" applyBorder="1" applyAlignment="1">
      <alignment horizontal="center" vertical="center"/>
    </xf>
    <xf numFmtId="1" fontId="56" fillId="36" borderId="33" xfId="0" applyNumberFormat="1" applyFont="1" applyFill="1" applyBorder="1" applyAlignment="1">
      <alignment horizontal="center" vertical="center" wrapText="1"/>
    </xf>
    <xf numFmtId="1" fontId="56" fillId="36" borderId="62" xfId="0" applyNumberFormat="1" applyFont="1" applyFill="1" applyBorder="1" applyAlignment="1">
      <alignment horizontal="center" vertical="center" wrapText="1"/>
    </xf>
    <xf numFmtId="1" fontId="56" fillId="36" borderId="63" xfId="0" applyNumberFormat="1" applyFont="1" applyFill="1" applyBorder="1" applyAlignment="1">
      <alignment horizontal="center" vertical="center" wrapText="1"/>
    </xf>
    <xf numFmtId="0" fontId="89" fillId="47" borderId="17" xfId="0" applyFont="1" applyFill="1" applyBorder="1" applyAlignment="1">
      <alignment horizontal="center" vertical="center"/>
    </xf>
    <xf numFmtId="0" fontId="89" fillId="47" borderId="48" xfId="0" applyFont="1" applyFill="1" applyBorder="1" applyAlignment="1">
      <alignment horizontal="center" vertical="center"/>
    </xf>
    <xf numFmtId="0" fontId="56" fillId="36" borderId="29" xfId="0" applyFont="1" applyFill="1" applyBorder="1" applyAlignment="1" applyProtection="1">
      <alignment horizontal="center" vertical="center"/>
    </xf>
    <xf numFmtId="1" fontId="56" fillId="36" borderId="32" xfId="0" applyNumberFormat="1" applyFont="1" applyFill="1" applyBorder="1" applyAlignment="1">
      <alignment horizontal="center" vertical="center" wrapText="1"/>
    </xf>
    <xf numFmtId="0" fontId="56" fillId="36" borderId="32" xfId="0" applyFont="1" applyFill="1" applyBorder="1" applyAlignment="1">
      <alignment horizontal="center" vertical="center"/>
    </xf>
    <xf numFmtId="1" fontId="89" fillId="46" borderId="31" xfId="0" applyNumberFormat="1" applyFont="1" applyFill="1" applyBorder="1" applyAlignment="1">
      <alignment horizontal="center" vertical="center" wrapText="1"/>
    </xf>
    <xf numFmtId="0" fontId="89" fillId="46" borderId="29" xfId="0" applyFont="1" applyFill="1" applyBorder="1" applyAlignment="1">
      <alignment horizontal="center" vertical="center" wrapText="1"/>
    </xf>
    <xf numFmtId="0" fontId="89" fillId="21" borderId="31" xfId="0" applyFont="1" applyFill="1" applyBorder="1" applyAlignment="1">
      <alignment horizontal="center" vertical="center"/>
    </xf>
    <xf numFmtId="0" fontId="89" fillId="21" borderId="29" xfId="0" applyFont="1" applyFill="1" applyBorder="1" applyAlignment="1">
      <alignment horizontal="center" vertical="center"/>
    </xf>
    <xf numFmtId="0" fontId="89" fillId="48" borderId="31" xfId="0" applyFont="1" applyFill="1" applyBorder="1" applyAlignment="1">
      <alignment horizontal="center" vertical="center"/>
    </xf>
    <xf numFmtId="0" fontId="89" fillId="48" borderId="29" xfId="0" applyFont="1" applyFill="1" applyBorder="1" applyAlignment="1">
      <alignment horizontal="center" vertical="center"/>
    </xf>
    <xf numFmtId="0" fontId="57" fillId="18" borderId="31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>
      <alignment horizontal="center" vertical="center"/>
    </xf>
    <xf numFmtId="0" fontId="57" fillId="18" borderId="65" xfId="0" applyFont="1" applyFill="1" applyBorder="1" applyAlignment="1">
      <alignment horizontal="center" vertical="center"/>
    </xf>
    <xf numFmtId="0" fontId="57" fillId="18" borderId="29" xfId="0" applyFont="1" applyFill="1" applyBorder="1" applyAlignment="1" applyProtection="1">
      <alignment horizontal="center" vertical="center"/>
    </xf>
    <xf numFmtId="0" fontId="57" fillId="18" borderId="29" xfId="0" applyFont="1" applyFill="1" applyBorder="1" applyAlignment="1">
      <alignment horizontal="center" vertical="center"/>
    </xf>
    <xf numFmtId="0" fontId="54" fillId="34" borderId="0" xfId="0" applyFont="1" applyFill="1" applyBorder="1" applyAlignment="1">
      <alignment horizontal="left" indent="1"/>
    </xf>
    <xf numFmtId="0" fontId="44" fillId="15" borderId="0" xfId="0" applyFont="1" applyFill="1" applyBorder="1" applyAlignment="1" applyProtection="1">
      <alignment horizontal="left"/>
      <protection locked="0"/>
    </xf>
    <xf numFmtId="0" fontId="60" fillId="16" borderId="0" xfId="0" applyFont="1" applyFill="1" applyBorder="1" applyAlignment="1" applyProtection="1">
      <alignment horizontal="left" vertical="center" wrapText="1" indent="2"/>
    </xf>
    <xf numFmtId="0" fontId="63" fillId="16" borderId="0" xfId="0" applyFont="1" applyFill="1" applyBorder="1" applyAlignment="1" applyProtection="1">
      <alignment horizontal="left" vertical="center" wrapText="1" indent="2"/>
    </xf>
    <xf numFmtId="0" fontId="64" fillId="16" borderId="0" xfId="0" applyFont="1" applyFill="1" applyBorder="1" applyAlignment="1" applyProtection="1">
      <alignment horizontal="left" vertical="center" wrapText="1" indent="2"/>
    </xf>
    <xf numFmtId="0" fontId="61" fillId="15" borderId="0" xfId="0" applyFont="1" applyFill="1" applyBorder="1" applyAlignment="1" applyProtection="1">
      <alignment horizontal="left" vertical="center" indent="2"/>
    </xf>
    <xf numFmtId="0" fontId="65" fillId="15" borderId="0" xfId="0" applyFont="1" applyFill="1" applyBorder="1" applyAlignment="1" applyProtection="1">
      <alignment horizontal="left" vertical="center" indent="2"/>
    </xf>
    <xf numFmtId="0" fontId="76" fillId="17" borderId="0" xfId="1" applyFont="1" applyFill="1" applyBorder="1" applyAlignment="1" applyProtection="1">
      <alignment horizontal="center" vertical="center" wrapText="1"/>
    </xf>
    <xf numFmtId="0" fontId="76" fillId="17" borderId="0" xfId="1" applyFont="1" applyFill="1" applyBorder="1" applyAlignment="1" applyProtection="1">
      <alignment horizontal="center" vertical="center"/>
    </xf>
    <xf numFmtId="0" fontId="61" fillId="15" borderId="0" xfId="0" applyFont="1" applyFill="1" applyBorder="1" applyAlignment="1" applyProtection="1">
      <alignment horizontal="left" vertical="center" wrapText="1" indent="2"/>
    </xf>
    <xf numFmtId="0" fontId="66" fillId="15" borderId="0" xfId="0" applyFont="1" applyFill="1" applyBorder="1" applyAlignment="1" applyProtection="1">
      <alignment horizontal="left" vertical="center" wrapText="1" indent="2"/>
    </xf>
    <xf numFmtId="0" fontId="46" fillId="34" borderId="0" xfId="0" applyFont="1" applyFill="1" applyBorder="1" applyAlignment="1">
      <alignment horizontal="left" indent="1"/>
    </xf>
    <xf numFmtId="0" fontId="47" fillId="34" borderId="0" xfId="0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68" fillId="30" borderId="30" xfId="0" applyFont="1" applyFill="1" applyBorder="1" applyAlignment="1">
      <alignment horizontal="right" vertical="center" wrapText="1"/>
    </xf>
    <xf numFmtId="0" fontId="68" fillId="30" borderId="31" xfId="0" applyFont="1" applyFill="1" applyBorder="1" applyAlignment="1">
      <alignment horizontal="right" vertical="center" wrapText="1"/>
    </xf>
    <xf numFmtId="0" fontId="68" fillId="30" borderId="28" xfId="0" applyFont="1" applyFill="1" applyBorder="1" applyAlignment="1">
      <alignment horizontal="right" vertical="center" wrapText="1"/>
    </xf>
    <xf numFmtId="0" fontId="68" fillId="30" borderId="33" xfId="0" applyFont="1" applyFill="1" applyBorder="1" applyAlignment="1">
      <alignment horizontal="right" vertical="center" wrapText="1"/>
    </xf>
    <xf numFmtId="0" fontId="61" fillId="19" borderId="0" xfId="0" applyFont="1" applyFill="1" applyBorder="1" applyAlignment="1" applyProtection="1">
      <alignment horizontal="left" vertical="center" wrapText="1" indent="1"/>
    </xf>
    <xf numFmtId="0" fontId="50" fillId="23" borderId="0" xfId="0" applyFont="1" applyFill="1" applyBorder="1" applyAlignment="1" applyProtection="1">
      <alignment horizontal="center" vertical="center" wrapText="1"/>
    </xf>
    <xf numFmtId="0" fontId="50" fillId="24" borderId="0" xfId="0" applyFont="1" applyFill="1" applyBorder="1" applyAlignment="1" applyProtection="1">
      <alignment horizontal="center" vertical="center" wrapText="1"/>
    </xf>
    <xf numFmtId="0" fontId="35" fillId="34" borderId="21" xfId="0" applyFont="1" applyFill="1" applyBorder="1" applyAlignment="1" applyProtection="1">
      <alignment horizontal="fill" vertical="center"/>
    </xf>
    <xf numFmtId="0" fontId="28" fillId="34" borderId="21" xfId="0" applyFont="1" applyFill="1" applyBorder="1" applyAlignment="1" applyProtection="1">
      <alignment vertical="center"/>
    </xf>
    <xf numFmtId="0" fontId="28" fillId="34" borderId="24" xfId="0" applyFont="1" applyFill="1" applyBorder="1" applyAlignment="1" applyProtection="1">
      <alignment vertical="center"/>
    </xf>
    <xf numFmtId="0" fontId="70" fillId="39" borderId="36" xfId="0" applyFont="1" applyFill="1" applyBorder="1" applyAlignment="1" applyProtection="1">
      <alignment horizontal="center" vertical="center" wrapText="1"/>
    </xf>
    <xf numFmtId="0" fontId="70" fillId="39" borderId="28" xfId="0" applyFont="1" applyFill="1" applyBorder="1" applyAlignment="1">
      <alignment horizontal="center" vertical="center" wrapText="1"/>
    </xf>
    <xf numFmtId="0" fontId="61" fillId="19" borderId="0" xfId="0" applyFont="1" applyFill="1" applyBorder="1" applyAlignment="1">
      <alignment horizontal="left" vertical="center" wrapText="1" indent="1"/>
    </xf>
    <xf numFmtId="0" fontId="61" fillId="3" borderId="0" xfId="0" applyFont="1" applyFill="1" applyBorder="1" applyAlignment="1">
      <alignment horizontal="left" vertical="center" wrapText="1" indent="1"/>
    </xf>
    <xf numFmtId="0" fontId="42" fillId="0" borderId="5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wrapText="1"/>
    </xf>
    <xf numFmtId="0" fontId="43" fillId="0" borderId="7" xfId="0" applyFont="1" applyFill="1" applyBorder="1" applyAlignment="1">
      <alignment wrapText="1"/>
    </xf>
    <xf numFmtId="0" fontId="30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wrapText="1"/>
    </xf>
    <xf numFmtId="0" fontId="29" fillId="0" borderId="8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9" fontId="30" fillId="0" borderId="0" xfId="0" applyNumberFormat="1" applyFont="1" applyFill="1" applyBorder="1" applyAlignment="1">
      <alignment horizontal="center" wrapText="1"/>
    </xf>
    <xf numFmtId="0" fontId="61" fillId="45" borderId="13" xfId="0" applyFont="1" applyFill="1" applyBorder="1" applyAlignment="1">
      <alignment horizontal="center" vertical="center"/>
    </xf>
    <xf numFmtId="0" fontId="61" fillId="45" borderId="14" xfId="0" applyFont="1" applyFill="1" applyBorder="1" applyAlignment="1">
      <alignment horizontal="center" vertical="center"/>
    </xf>
    <xf numFmtId="0" fontId="61" fillId="45" borderId="55" xfId="0" applyFont="1" applyFill="1" applyBorder="1" applyAlignment="1">
      <alignment horizontal="center" vertical="center"/>
    </xf>
    <xf numFmtId="0" fontId="77" fillId="45" borderId="67" xfId="0" applyFont="1" applyFill="1" applyBorder="1" applyAlignment="1">
      <alignment horizontal="center" vertical="center"/>
    </xf>
    <xf numFmtId="0" fontId="77" fillId="45" borderId="68" xfId="0" applyFont="1" applyFill="1" applyBorder="1" applyAlignment="1">
      <alignment horizontal="center" vertical="center"/>
    </xf>
    <xf numFmtId="0" fontId="77" fillId="45" borderId="69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vertical="center" wrapText="1"/>
    </xf>
    <xf numFmtId="0" fontId="61" fillId="27" borderId="56" xfId="0" applyFont="1" applyFill="1" applyBorder="1" applyAlignment="1">
      <alignment horizontal="left" vertical="center" indent="1"/>
    </xf>
    <xf numFmtId="0" fontId="77" fillId="26" borderId="56" xfId="0" applyFont="1" applyFill="1" applyBorder="1" applyAlignment="1">
      <alignment horizontal="left" vertical="center" inden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D2FBE"/>
      <rgbColor rgb="003DEB3D"/>
      <rgbColor rgb="0069FFFF"/>
      <rgbColor rgb="006A2813"/>
      <rgbColor rgb="00C0C0C0"/>
      <rgbColor rgb="00C0C0FF"/>
      <rgbColor rgb="00C6C6C6"/>
      <rgbColor rgb="00CC9CCC"/>
      <rgbColor rgb="00CCFFCC"/>
      <rgbColor rgb="00DFDFDF"/>
      <rgbColor rgb="00E3E3E3"/>
      <rgbColor rgb="00FF0000"/>
      <rgbColor rgb="00FFCC99"/>
      <rgbColor rgb="00FFFF00"/>
      <rgbColor rgb="00FFFF80"/>
      <rgbColor rgb="00FFFF99"/>
      <rgbColor rgb="00FFFFFF"/>
      <rgbColor rgb="00FFFFF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FFCC99"/>
      <color rgb="FF9999FF"/>
      <color rgb="FFFF9900"/>
      <color rgb="FFFF3300"/>
      <color rgb="FF00FF00"/>
      <color rgb="FFCCCCFF"/>
      <color rgb="FFCCECFF"/>
      <color rgb="FFFFFF99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342900</xdr:colOff>
      <xdr:row>1</xdr:row>
      <xdr:rowOff>85725</xdr:rowOff>
    </xdr:from>
    <xdr:to>
      <xdr:col>15</xdr:col>
      <xdr:colOff>235225</xdr:colOff>
      <xdr:row>1</xdr:row>
      <xdr:rowOff>422290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247650"/>
          <a:ext cx="2178325" cy="336565"/>
        </a:xfrm>
        <a:prstGeom prst="rect">
          <a:avLst/>
        </a:prstGeom>
      </xdr:spPr>
    </xdr:pic>
    <xdr:clientData/>
  </xdr:twoCellAnchor>
  <xdr:twoCellAnchor>
    <xdr:from>
      <xdr:col>10</xdr:col>
      <xdr:colOff>1441739</xdr:colOff>
      <xdr:row>35</xdr:row>
      <xdr:rowOff>56583</xdr:rowOff>
    </xdr:from>
    <xdr:to>
      <xdr:col>10</xdr:col>
      <xdr:colOff>1639661</xdr:colOff>
      <xdr:row>35</xdr:row>
      <xdr:rowOff>254505</xdr:rowOff>
    </xdr:to>
    <xdr:grpSp>
      <xdr:nvGrpSpPr>
        <xdr:cNvPr id="9" name="Groupe 8"/>
        <xdr:cNvGrpSpPr/>
      </xdr:nvGrpSpPr>
      <xdr:grpSpPr>
        <a:xfrm>
          <a:off x="9061739" y="6562158"/>
          <a:ext cx="197922" cy="197922"/>
          <a:chOff x="9061739" y="6191250"/>
          <a:chExt cx="197922" cy="197922"/>
        </a:xfrm>
      </xdr:grpSpPr>
      <xdr:sp macro="" textlink="">
        <xdr:nvSpPr>
          <xdr:cNvPr id="5" name="Flèche droite 4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4" name="Ellipse 3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1446068</xdr:colOff>
      <xdr:row>33</xdr:row>
      <xdr:rowOff>43446</xdr:rowOff>
    </xdr:from>
    <xdr:to>
      <xdr:col>10</xdr:col>
      <xdr:colOff>1643990</xdr:colOff>
      <xdr:row>33</xdr:row>
      <xdr:rowOff>241368</xdr:rowOff>
    </xdr:to>
    <xdr:grpSp>
      <xdr:nvGrpSpPr>
        <xdr:cNvPr id="6" name="Groupe 5"/>
        <xdr:cNvGrpSpPr/>
      </xdr:nvGrpSpPr>
      <xdr:grpSpPr>
        <a:xfrm>
          <a:off x="9066068" y="6187071"/>
          <a:ext cx="197922" cy="197922"/>
          <a:chOff x="9066068" y="5857876"/>
          <a:chExt cx="197922" cy="197922"/>
        </a:xfrm>
      </xdr:grpSpPr>
      <xdr:sp macro="" textlink="">
        <xdr:nvSpPr>
          <xdr:cNvPr id="7" name="Flèche droite 6"/>
          <xdr:cNvSpPr/>
        </xdr:nvSpPr>
        <xdr:spPr bwMode="auto">
          <a:xfrm>
            <a:off x="9113630" y="5904897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8" name="Ellipse 7"/>
          <xdr:cNvSpPr/>
        </xdr:nvSpPr>
        <xdr:spPr bwMode="auto">
          <a:xfrm>
            <a:off x="9066068" y="5857876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1440810</xdr:colOff>
      <xdr:row>37</xdr:row>
      <xdr:rowOff>44438</xdr:rowOff>
    </xdr:from>
    <xdr:to>
      <xdr:col>10</xdr:col>
      <xdr:colOff>1638732</xdr:colOff>
      <xdr:row>37</xdr:row>
      <xdr:rowOff>242360</xdr:rowOff>
    </xdr:to>
    <xdr:grpSp>
      <xdr:nvGrpSpPr>
        <xdr:cNvPr id="11" name="Groupe 10"/>
        <xdr:cNvGrpSpPr/>
      </xdr:nvGrpSpPr>
      <xdr:grpSpPr>
        <a:xfrm>
          <a:off x="9060810" y="6931013"/>
          <a:ext cx="197922" cy="197922"/>
          <a:chOff x="9061739" y="6191250"/>
          <a:chExt cx="197922" cy="197922"/>
        </a:xfrm>
      </xdr:grpSpPr>
      <xdr:sp macro="" textlink="">
        <xdr:nvSpPr>
          <xdr:cNvPr id="12" name="Flèche droite 11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13" name="Ellipse 12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9</xdr:col>
      <xdr:colOff>609600</xdr:colOff>
      <xdr:row>51</xdr:row>
      <xdr:rowOff>76200</xdr:rowOff>
    </xdr:from>
    <xdr:to>
      <xdr:col>10</xdr:col>
      <xdr:colOff>1461416</xdr:colOff>
      <xdr:row>60</xdr:row>
      <xdr:rowOff>142875</xdr:rowOff>
    </xdr:to>
    <xdr:sp macro="" textlink="">
      <xdr:nvSpPr>
        <xdr:cNvPr id="10" name="Ellipse 9"/>
        <xdr:cNvSpPr/>
      </xdr:nvSpPr>
      <xdr:spPr bwMode="auto">
        <a:xfrm>
          <a:off x="7467600" y="9096375"/>
          <a:ext cx="1613816" cy="1590675"/>
        </a:xfrm>
        <a:prstGeom prst="ellipse">
          <a:avLst/>
        </a:prstGeom>
        <a:solidFill>
          <a:schemeClr val="accent5">
            <a:lumMod val="75000"/>
          </a:schemeClr>
        </a:solidFill>
        <a:ln w="190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Il est nécessaire d'être à l'écoute de ses</a:t>
          </a:r>
          <a:r>
            <a:rPr lang="fr-BE" sz="1050" b="0" baseline="0">
              <a:solidFill>
                <a:schemeClr val="bg1"/>
              </a:solidFill>
              <a:latin typeface="HelveticaNeueLT Std" pitchFamily="34" charset="0"/>
            </a:rPr>
            <a:t> </a:t>
          </a:r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sensations.</a:t>
          </a:r>
        </a:p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Si vous vous sentez fatigué, facilitez ou sautez une séance. </a:t>
          </a:r>
        </a:p>
      </xdr:txBody>
    </xdr:sp>
    <xdr:clientData/>
  </xdr:twoCellAnchor>
  <xdr:twoCellAnchor>
    <xdr:from>
      <xdr:col>10</xdr:col>
      <xdr:colOff>930088</xdr:colOff>
      <xdr:row>1</xdr:row>
      <xdr:rowOff>454235</xdr:rowOff>
    </xdr:from>
    <xdr:to>
      <xdr:col>11</xdr:col>
      <xdr:colOff>2381</xdr:colOff>
      <xdr:row>3</xdr:row>
      <xdr:rowOff>153918</xdr:rowOff>
    </xdr:to>
    <xdr:sp macro="" textlink="">
      <xdr:nvSpPr>
        <xdr:cNvPr id="14" name="Rectangle 13"/>
        <xdr:cNvSpPr/>
      </xdr:nvSpPr>
      <xdr:spPr bwMode="auto">
        <a:xfrm>
          <a:off x="8550088" y="616160"/>
          <a:ext cx="910618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Accueil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342900</xdr:colOff>
      <xdr:row>1</xdr:row>
      <xdr:rowOff>85725</xdr:rowOff>
    </xdr:from>
    <xdr:to>
      <xdr:col>16</xdr:col>
      <xdr:colOff>235225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25" y="247650"/>
          <a:ext cx="2178325" cy="33656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</xdr:row>
      <xdr:rowOff>66675</xdr:rowOff>
    </xdr:from>
    <xdr:to>
      <xdr:col>8</xdr:col>
      <xdr:colOff>1025800</xdr:colOff>
      <xdr:row>1</xdr:row>
      <xdr:rowOff>403240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228600"/>
          <a:ext cx="2178325" cy="336565"/>
        </a:xfrm>
        <a:prstGeom prst="rect">
          <a:avLst/>
        </a:prstGeom>
      </xdr:spPr>
    </xdr:pic>
    <xdr:clientData/>
  </xdr:twoCellAnchor>
  <xdr:twoCellAnchor>
    <xdr:from>
      <xdr:col>4</xdr:col>
      <xdr:colOff>3086100</xdr:colOff>
      <xdr:row>2</xdr:row>
      <xdr:rowOff>1803</xdr:rowOff>
    </xdr:from>
    <xdr:to>
      <xdr:col>6</xdr:col>
      <xdr:colOff>15268</xdr:colOff>
      <xdr:row>3</xdr:row>
      <xdr:rowOff>158943</xdr:rowOff>
    </xdr:to>
    <xdr:sp macro="" textlink="">
      <xdr:nvSpPr>
        <xdr:cNvPr id="6" name="Rectangle 5"/>
        <xdr:cNvSpPr/>
      </xdr:nvSpPr>
      <xdr:spPr bwMode="auto">
        <a:xfrm>
          <a:off x="9192397" y="622215"/>
          <a:ext cx="911648" cy="31932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Etalonnage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1</xdr:row>
      <xdr:rowOff>66675</xdr:rowOff>
    </xdr:from>
    <xdr:to>
      <xdr:col>20</xdr:col>
      <xdr:colOff>6625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247650"/>
          <a:ext cx="1854475" cy="374665"/>
        </a:xfrm>
        <a:prstGeom prst="rect">
          <a:avLst/>
        </a:prstGeom>
      </xdr:spPr>
    </xdr:pic>
    <xdr:clientData/>
  </xdr:twoCellAnchor>
  <xdr:twoCellAnchor>
    <xdr:from>
      <xdr:col>14</xdr:col>
      <xdr:colOff>1057275</xdr:colOff>
      <xdr:row>2</xdr:row>
      <xdr:rowOff>3923</xdr:rowOff>
    </xdr:from>
    <xdr:to>
      <xdr:col>17</xdr:col>
      <xdr:colOff>5743</xdr:colOff>
      <xdr:row>2</xdr:row>
      <xdr:rowOff>322731</xdr:rowOff>
    </xdr:to>
    <xdr:sp macro="" textlink="">
      <xdr:nvSpPr>
        <xdr:cNvPr id="7" name="Rectangle 6"/>
        <xdr:cNvSpPr/>
      </xdr:nvSpPr>
      <xdr:spPr bwMode="auto">
        <a:xfrm>
          <a:off x="9475694" y="642658"/>
          <a:ext cx="912299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5 ent.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714375</xdr:colOff>
      <xdr:row>1</xdr:row>
      <xdr:rowOff>47625</xdr:rowOff>
    </xdr:from>
    <xdr:to>
      <xdr:col>20</xdr:col>
      <xdr:colOff>282850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57175"/>
          <a:ext cx="1854475" cy="393715"/>
        </a:xfrm>
        <a:prstGeom prst="rect">
          <a:avLst/>
        </a:prstGeom>
      </xdr:spPr>
    </xdr:pic>
    <xdr:clientData/>
  </xdr:twoCellAnchor>
  <xdr:twoCellAnchor>
    <xdr:from>
      <xdr:col>14</xdr:col>
      <xdr:colOff>991280</xdr:colOff>
      <xdr:row>1</xdr:row>
      <xdr:rowOff>453794</xdr:rowOff>
    </xdr:from>
    <xdr:to>
      <xdr:col>17</xdr:col>
      <xdr:colOff>6423</xdr:colOff>
      <xdr:row>2</xdr:row>
      <xdr:rowOff>316763</xdr:rowOff>
    </xdr:to>
    <xdr:sp macro="" textlink="">
      <xdr:nvSpPr>
        <xdr:cNvPr id="6" name="Rectangle 5"/>
        <xdr:cNvSpPr/>
      </xdr:nvSpPr>
      <xdr:spPr bwMode="auto">
        <a:xfrm>
          <a:off x="9393691" y="664705"/>
          <a:ext cx="90993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4 ent.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1</xdr:row>
      <xdr:rowOff>47625</xdr:rowOff>
    </xdr:from>
    <xdr:to>
      <xdr:col>21</xdr:col>
      <xdr:colOff>111400</xdr:colOff>
      <xdr:row>1</xdr:row>
      <xdr:rowOff>441340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5725" y="247650"/>
          <a:ext cx="1854475" cy="393715"/>
        </a:xfrm>
        <a:prstGeom prst="rect">
          <a:avLst/>
        </a:prstGeom>
      </xdr:spPr>
    </xdr:pic>
    <xdr:clientData/>
  </xdr:twoCellAnchor>
  <xdr:twoCellAnchor>
    <xdr:from>
      <xdr:col>14</xdr:col>
      <xdr:colOff>1009650</xdr:colOff>
      <xdr:row>1</xdr:row>
      <xdr:rowOff>447675</xdr:rowOff>
    </xdr:from>
    <xdr:to>
      <xdr:col>17</xdr:col>
      <xdr:colOff>15268</xdr:colOff>
      <xdr:row>2</xdr:row>
      <xdr:rowOff>310644</xdr:rowOff>
    </xdr:to>
    <xdr:sp macro="" textlink="">
      <xdr:nvSpPr>
        <xdr:cNvPr id="7" name="Rectangle 6"/>
        <xdr:cNvSpPr/>
      </xdr:nvSpPr>
      <xdr:spPr bwMode="auto">
        <a:xfrm>
          <a:off x="9315450" y="8763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3 ent.</a:t>
          </a:r>
        </a:p>
      </xdr:txBody>
    </xdr:sp>
    <xdr:clientData/>
  </xdr:twoCellAnchor>
  <xdr:twoCellAnchor>
    <xdr:from>
      <xdr:col>17</xdr:col>
      <xdr:colOff>104774</xdr:colOff>
      <xdr:row>3</xdr:row>
      <xdr:rowOff>0</xdr:rowOff>
    </xdr:from>
    <xdr:to>
      <xdr:col>19</xdr:col>
      <xdr:colOff>495299</xdr:colOff>
      <xdr:row>8</xdr:row>
      <xdr:rowOff>257174</xdr:rowOff>
    </xdr:to>
    <xdr:sp macro="" textlink="">
      <xdr:nvSpPr>
        <xdr:cNvPr id="2" name="Ellipse 1"/>
        <xdr:cNvSpPr/>
      </xdr:nvSpPr>
      <xdr:spPr bwMode="auto">
        <a:xfrm>
          <a:off x="10315574" y="1533524"/>
          <a:ext cx="1914525" cy="1914525"/>
        </a:xfrm>
        <a:prstGeom prst="ellipse">
          <a:avLst/>
        </a:prstGeom>
        <a:solidFill>
          <a:srgbClr val="CC99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BE" sz="1050" b="1">
              <a:solidFill>
                <a:schemeClr val="tx1"/>
              </a:solidFill>
            </a:rPr>
            <a:t>END!!!</a:t>
          </a:r>
        </a:p>
        <a:p>
          <a:pPr algn="ctr"/>
          <a:r>
            <a:rPr lang="fr-BE" sz="1050">
              <a:solidFill>
                <a:schemeClr val="tx1"/>
              </a:solidFill>
            </a:rPr>
            <a:t>Cases mauves : Seules les périodes de travail sont à exécuter à l'allure demandée, l'endurance s'effectuant à celle prévue par les cases verte.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5</xdr:col>
      <xdr:colOff>733425</xdr:colOff>
      <xdr:row>4</xdr:row>
      <xdr:rowOff>0</xdr:rowOff>
    </xdr:to>
    <xdr:pic>
      <xdr:nvPicPr>
        <xdr:cNvPr id="13317" name="Picture 7" descr="sign_zatopek_CMYK_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1925"/>
          <a:ext cx="5972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438150</xdr:colOff>
      <xdr:row>1</xdr:row>
      <xdr:rowOff>66675</xdr:rowOff>
    </xdr:from>
    <xdr:to>
      <xdr:col>23</xdr:col>
      <xdr:colOff>6625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2950" y="266700"/>
          <a:ext cx="1854475" cy="393715"/>
        </a:xfrm>
        <a:prstGeom prst="rect">
          <a:avLst/>
        </a:prstGeom>
      </xdr:spPr>
    </xdr:pic>
    <xdr:clientData/>
  </xdr:twoCellAnchor>
  <xdr:twoCellAnchor>
    <xdr:from>
      <xdr:col>11</xdr:col>
      <xdr:colOff>276225</xdr:colOff>
      <xdr:row>1</xdr:row>
      <xdr:rowOff>447675</xdr:rowOff>
    </xdr:from>
    <xdr:to>
      <xdr:col>12</xdr:col>
      <xdr:colOff>424843</xdr:colOff>
      <xdr:row>3</xdr:row>
      <xdr:rowOff>148719</xdr:rowOff>
    </xdr:to>
    <xdr:sp macro="" textlink="">
      <xdr:nvSpPr>
        <xdr:cNvPr id="5" name="Rectangle 4"/>
        <xdr:cNvSpPr/>
      </xdr:nvSpPr>
      <xdr:spPr bwMode="auto">
        <a:xfrm>
          <a:off x="8677275" y="6096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VMA</a:t>
          </a:r>
        </a:p>
      </xdr:txBody>
    </xdr:sp>
    <xdr:clientData/>
  </xdr:twoCellAnchor>
  <xdr:twoCellAnchor editAs="oneCell">
    <xdr:from>
      <xdr:col>13</xdr:col>
      <xdr:colOff>142875</xdr:colOff>
      <xdr:row>1</xdr:row>
      <xdr:rowOff>38100</xdr:rowOff>
    </xdr:from>
    <xdr:to>
      <xdr:col>15</xdr:col>
      <xdr:colOff>473350</xdr:colOff>
      <xdr:row>1</xdr:row>
      <xdr:rowOff>431815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925" y="200025"/>
          <a:ext cx="1854475" cy="3937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~1/Roger/LOCALS~1/Temp/2preparation%20entraine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Etalonnage"/>
      <sheetName val="MARATHON6"/>
      <sheetName val="MARATHON5"/>
      <sheetName val="MARATHON4"/>
      <sheetName val="VMA"/>
      <sheetName val="constan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1:O128"/>
  <sheetViews>
    <sheetView showGridLines="0" tabSelected="1" zoomScaleNormal="100" workbookViewId="0">
      <selection activeCell="N15" sqref="N15"/>
    </sheetView>
  </sheetViews>
  <sheetFormatPr baseColWidth="10" defaultRowHeight="12.75" x14ac:dyDescent="0.2"/>
  <cols>
    <col min="11" max="11" width="27.5703125" customWidth="1"/>
  </cols>
  <sheetData>
    <row r="1" spans="2:12" ht="15.75" customHeight="1" x14ac:dyDescent="0.2"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2:12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303"/>
      <c r="K2" s="303"/>
    </row>
    <row r="3" spans="2:12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2" ht="18" customHeight="1" x14ac:dyDescent="0.2">
      <c r="B4" s="257"/>
      <c r="C4" s="258"/>
      <c r="D4" s="258"/>
      <c r="E4" s="258"/>
      <c r="F4" s="258"/>
      <c r="G4" s="258"/>
      <c r="H4" s="258"/>
      <c r="I4" s="258"/>
      <c r="J4" s="258"/>
      <c r="K4" s="258"/>
      <c r="L4" s="25"/>
    </row>
    <row r="5" spans="2:12" ht="21" customHeight="1" x14ac:dyDescent="0.2">
      <c r="B5" s="304" t="s">
        <v>213</v>
      </c>
      <c r="C5" s="305"/>
      <c r="D5" s="305"/>
      <c r="E5" s="306"/>
      <c r="F5" s="306"/>
      <c r="G5" s="306"/>
      <c r="H5" s="306"/>
      <c r="I5" s="306"/>
      <c r="J5" s="306"/>
      <c r="K5" s="306"/>
    </row>
    <row r="6" spans="2:12" ht="8.25" hidden="1" customHeight="1" thickBot="1" x14ac:dyDescent="0.25">
      <c r="B6" s="260" t="s">
        <v>2</v>
      </c>
      <c r="C6" s="261"/>
      <c r="D6" s="261"/>
      <c r="E6" s="261"/>
      <c r="F6" s="262"/>
      <c r="G6" s="262"/>
      <c r="H6" s="262"/>
      <c r="I6" s="262"/>
      <c r="J6" s="262"/>
      <c r="K6" s="263"/>
    </row>
    <row r="7" spans="2:12" s="35" customFormat="1" ht="8.25" customHeight="1" x14ac:dyDescent="0.2">
      <c r="B7" s="65"/>
      <c r="C7" s="65"/>
      <c r="D7" s="65"/>
      <c r="E7" s="65"/>
      <c r="F7" s="66"/>
      <c r="G7" s="66"/>
      <c r="H7" s="66"/>
      <c r="I7" s="66"/>
      <c r="J7" s="66"/>
      <c r="K7" s="66"/>
    </row>
    <row r="8" spans="2:12" ht="18" customHeight="1" x14ac:dyDescent="0.2">
      <c r="B8" s="206" t="s">
        <v>94</v>
      </c>
      <c r="C8" s="206"/>
      <c r="D8" s="206"/>
      <c r="E8" s="206"/>
      <c r="F8" s="206"/>
      <c r="G8" s="206"/>
      <c r="H8" s="206"/>
      <c r="I8" s="206"/>
      <c r="J8" s="206"/>
      <c r="K8" s="206"/>
    </row>
    <row r="9" spans="2:12" ht="12.75" customHeight="1" x14ac:dyDescent="0.2">
      <c r="B9" s="206" t="s">
        <v>95</v>
      </c>
      <c r="C9" s="206"/>
      <c r="D9" s="206"/>
      <c r="E9" s="206"/>
      <c r="F9" s="206"/>
      <c r="G9" s="206"/>
      <c r="H9" s="206"/>
      <c r="I9" s="206"/>
      <c r="J9" s="206"/>
      <c r="K9" s="206"/>
    </row>
    <row r="10" spans="2:12" ht="12.75" customHeight="1" x14ac:dyDescent="0.2">
      <c r="B10" s="206" t="s">
        <v>224</v>
      </c>
      <c r="C10" s="206"/>
      <c r="D10" s="206"/>
      <c r="E10" s="206"/>
      <c r="F10" s="206"/>
      <c r="G10" s="206"/>
      <c r="H10" s="206"/>
      <c r="I10" s="206"/>
      <c r="J10" s="206"/>
      <c r="K10" s="206"/>
    </row>
    <row r="11" spans="2:12" ht="12.75" customHeight="1" x14ac:dyDescent="0.2">
      <c r="B11" s="206" t="s">
        <v>225</v>
      </c>
      <c r="C11" s="206"/>
      <c r="D11" s="206"/>
      <c r="E11" s="206"/>
      <c r="F11" s="206"/>
      <c r="G11" s="206"/>
      <c r="H11" s="206"/>
      <c r="I11" s="206"/>
      <c r="J11" s="206"/>
      <c r="K11" s="206"/>
    </row>
    <row r="12" spans="2:12" ht="14.25" x14ac:dyDescent="0.2">
      <c r="B12" s="206" t="s">
        <v>208</v>
      </c>
      <c r="C12" s="206"/>
      <c r="D12" s="206"/>
      <c r="E12" s="206"/>
      <c r="F12" s="206"/>
      <c r="G12" s="206"/>
      <c r="H12" s="206"/>
      <c r="I12" s="206"/>
      <c r="J12" s="206"/>
      <c r="K12" s="206"/>
    </row>
    <row r="13" spans="2:12" ht="15" customHeight="1" x14ac:dyDescent="0.2">
      <c r="B13" s="207" t="s">
        <v>226</v>
      </c>
      <c r="C13" s="206"/>
      <c r="D13" s="206"/>
      <c r="E13" s="206"/>
      <c r="F13" s="206"/>
      <c r="G13" s="206"/>
      <c r="H13" s="206"/>
      <c r="I13" s="206"/>
      <c r="J13" s="206"/>
      <c r="K13" s="206"/>
    </row>
    <row r="14" spans="2:12" ht="15" customHeight="1" x14ac:dyDescent="0.2">
      <c r="B14" s="207" t="s">
        <v>115</v>
      </c>
      <c r="C14" s="208"/>
      <c r="D14" s="208"/>
      <c r="E14" s="208"/>
      <c r="F14" s="208"/>
      <c r="G14" s="208"/>
      <c r="H14" s="208"/>
      <c r="I14" s="208"/>
      <c r="J14" s="208"/>
      <c r="K14" s="208"/>
    </row>
    <row r="15" spans="2:12" ht="14.25" x14ac:dyDescent="0.2">
      <c r="B15" s="206" t="s">
        <v>227</v>
      </c>
      <c r="C15" s="206"/>
      <c r="D15" s="206"/>
      <c r="E15" s="206"/>
      <c r="F15" s="206"/>
      <c r="G15" s="206"/>
      <c r="H15" s="206"/>
      <c r="I15" s="206"/>
      <c r="J15" s="206"/>
      <c r="K15" s="206"/>
    </row>
    <row r="16" spans="2:12" ht="14.25" x14ac:dyDescent="0.2">
      <c r="B16" s="206" t="s">
        <v>228</v>
      </c>
      <c r="C16" s="206"/>
      <c r="D16" s="206"/>
      <c r="E16" s="206"/>
      <c r="F16" s="206"/>
      <c r="G16" s="206"/>
      <c r="H16" s="206"/>
      <c r="I16" s="206"/>
      <c r="J16" s="206"/>
      <c r="K16" s="206"/>
    </row>
    <row r="17" spans="2:11" ht="14.25" x14ac:dyDescent="0.2">
      <c r="B17" s="207" t="s">
        <v>229</v>
      </c>
      <c r="C17" s="206"/>
      <c r="D17" s="206"/>
      <c r="E17" s="206"/>
      <c r="F17" s="206"/>
      <c r="G17" s="206"/>
      <c r="H17" s="206"/>
      <c r="I17" s="206"/>
      <c r="J17" s="206"/>
      <c r="K17" s="206"/>
    </row>
    <row r="18" spans="2:11" ht="14.25" x14ac:dyDescent="0.2">
      <c r="B18" s="208" t="s">
        <v>230</v>
      </c>
      <c r="C18" s="206"/>
      <c r="D18" s="206"/>
      <c r="E18" s="206"/>
      <c r="F18" s="206"/>
      <c r="G18" s="206"/>
      <c r="H18" s="206"/>
      <c r="I18" s="206"/>
      <c r="J18" s="206"/>
      <c r="K18" s="206"/>
    </row>
    <row r="19" spans="2:11" ht="14.25" x14ac:dyDescent="0.2">
      <c r="B19" s="206" t="s">
        <v>231</v>
      </c>
      <c r="C19" s="206"/>
      <c r="D19" s="206"/>
      <c r="E19" s="206"/>
      <c r="F19" s="206"/>
      <c r="G19" s="206"/>
      <c r="H19" s="206"/>
      <c r="I19" s="206"/>
      <c r="J19" s="206"/>
      <c r="K19" s="206"/>
    </row>
    <row r="20" spans="2:11" ht="14.25" x14ac:dyDescent="0.2">
      <c r="B20" s="206" t="s">
        <v>202</v>
      </c>
      <c r="C20" s="206"/>
      <c r="D20" s="206"/>
      <c r="E20" s="206"/>
      <c r="F20" s="206"/>
      <c r="G20" s="206"/>
      <c r="H20" s="206"/>
      <c r="I20" s="206"/>
      <c r="J20" s="206"/>
      <c r="K20" s="206"/>
    </row>
    <row r="21" spans="2:11" ht="14.25" x14ac:dyDescent="0.2">
      <c r="B21" s="206" t="s">
        <v>232</v>
      </c>
      <c r="C21" s="206"/>
      <c r="D21" s="206"/>
      <c r="E21" s="206"/>
      <c r="F21" s="206"/>
      <c r="G21" s="206"/>
      <c r="H21" s="206"/>
      <c r="I21" s="206"/>
      <c r="J21" s="206"/>
      <c r="K21" s="206"/>
    </row>
    <row r="22" spans="2:11" ht="14.25" x14ac:dyDescent="0.2">
      <c r="B22" s="206" t="s">
        <v>193</v>
      </c>
      <c r="C22" s="206"/>
      <c r="D22" s="206"/>
      <c r="E22" s="206"/>
      <c r="F22" s="206"/>
      <c r="G22" s="206"/>
      <c r="H22" s="206"/>
      <c r="I22" s="206"/>
      <c r="J22" s="206"/>
      <c r="K22" s="206"/>
    </row>
    <row r="23" spans="2:11" ht="14.25" x14ac:dyDescent="0.2">
      <c r="B23" s="206" t="s">
        <v>194</v>
      </c>
      <c r="C23" s="206"/>
      <c r="D23" s="206"/>
      <c r="E23" s="206"/>
      <c r="F23" s="206"/>
      <c r="G23" s="206"/>
      <c r="H23" s="206"/>
      <c r="I23" s="206"/>
      <c r="J23" s="206"/>
      <c r="K23" s="206"/>
    </row>
    <row r="24" spans="2:11" ht="14.25" x14ac:dyDescent="0.2">
      <c r="B24" s="207" t="s">
        <v>233</v>
      </c>
      <c r="C24" s="206"/>
      <c r="D24" s="206"/>
      <c r="E24" s="206"/>
      <c r="F24" s="206"/>
      <c r="G24" s="206"/>
      <c r="H24" s="206"/>
      <c r="I24" s="206"/>
      <c r="J24" s="206"/>
      <c r="K24" s="206"/>
    </row>
    <row r="25" spans="2:11" ht="14.25" x14ac:dyDescent="0.2">
      <c r="B25" s="206" t="s">
        <v>203</v>
      </c>
      <c r="C25" s="206"/>
      <c r="D25" s="206"/>
      <c r="E25" s="206"/>
      <c r="F25" s="206"/>
      <c r="G25" s="206"/>
      <c r="H25" s="206"/>
      <c r="I25" s="206"/>
      <c r="J25" s="206"/>
      <c r="K25" s="206"/>
    </row>
    <row r="26" spans="2:11" ht="14.25" x14ac:dyDescent="0.2">
      <c r="B26" s="207" t="s">
        <v>234</v>
      </c>
      <c r="C26" s="206"/>
      <c r="D26" s="206"/>
      <c r="E26" s="206"/>
      <c r="F26" s="206"/>
      <c r="G26" s="206"/>
      <c r="H26" s="206"/>
      <c r="I26" s="206"/>
      <c r="J26" s="206"/>
      <c r="K26" s="206"/>
    </row>
    <row r="27" spans="2:11" s="16" customFormat="1" ht="14.25" x14ac:dyDescent="0.2">
      <c r="B27" s="206" t="s">
        <v>96</v>
      </c>
      <c r="C27" s="206"/>
      <c r="D27" s="206"/>
      <c r="E27" s="206"/>
      <c r="F27" s="206"/>
      <c r="G27" s="206"/>
      <c r="H27" s="206"/>
      <c r="I27" s="206"/>
      <c r="J27" s="206"/>
      <c r="K27" s="206"/>
    </row>
    <row r="28" spans="2:11" s="16" customFormat="1" ht="14.25" x14ac:dyDescent="0.2">
      <c r="B28" s="206" t="s">
        <v>235</v>
      </c>
      <c r="C28" s="206"/>
      <c r="D28" s="206"/>
      <c r="E28" s="206"/>
      <c r="F28" s="206"/>
      <c r="G28" s="206"/>
      <c r="H28" s="206"/>
      <c r="I28" s="206"/>
      <c r="J28" s="206"/>
      <c r="K28" s="206"/>
    </row>
    <row r="29" spans="2:11" s="16" customFormat="1" ht="14.25" x14ac:dyDescent="0.2">
      <c r="B29" s="206" t="s">
        <v>209</v>
      </c>
      <c r="C29" s="206"/>
      <c r="D29" s="206"/>
      <c r="E29" s="206"/>
      <c r="F29" s="206"/>
      <c r="G29" s="206"/>
      <c r="H29" s="206"/>
      <c r="I29" s="206"/>
      <c r="J29" s="206"/>
      <c r="K29" s="206"/>
    </row>
    <row r="30" spans="2:11" s="16" customFormat="1" ht="14.25" x14ac:dyDescent="0.2">
      <c r="B30" s="206"/>
      <c r="C30" s="206"/>
      <c r="D30" s="206"/>
      <c r="E30" s="206"/>
      <c r="F30" s="206"/>
      <c r="G30" s="206"/>
      <c r="H30" s="206"/>
      <c r="I30" s="206"/>
      <c r="J30" s="206"/>
      <c r="K30" s="206"/>
    </row>
    <row r="31" spans="2:11" s="16" customFormat="1" ht="14.25" x14ac:dyDescent="0.2">
      <c r="B31" s="64"/>
      <c r="C31" s="64"/>
      <c r="D31" s="64"/>
      <c r="E31" s="64"/>
      <c r="F31" s="64"/>
      <c r="G31" s="64"/>
      <c r="H31" s="64"/>
      <c r="I31" s="64"/>
      <c r="J31" s="64"/>
      <c r="K31" s="64"/>
    </row>
    <row r="32" spans="2:11" s="16" customFormat="1" ht="20.25" customHeight="1" x14ac:dyDescent="0.2">
      <c r="B32" s="307" t="s">
        <v>3</v>
      </c>
      <c r="C32" s="308"/>
      <c r="D32" s="308"/>
      <c r="E32" s="308"/>
      <c r="F32" s="308"/>
      <c r="G32" s="308"/>
      <c r="H32" s="308"/>
      <c r="I32" s="308"/>
      <c r="J32" s="308"/>
      <c r="K32" s="308"/>
    </row>
    <row r="33" spans="2:11" s="16" customFormat="1" ht="9" customHeight="1" x14ac:dyDescent="0.2">
      <c r="B33" s="68"/>
      <c r="C33" s="68"/>
      <c r="D33" s="68"/>
      <c r="E33" s="68"/>
      <c r="F33" s="68"/>
      <c r="G33" s="68"/>
      <c r="H33" s="68"/>
      <c r="I33" s="68"/>
      <c r="J33" s="68"/>
      <c r="K33" s="68"/>
    </row>
    <row r="34" spans="2:11" s="16" customFormat="1" ht="22.5" customHeight="1" x14ac:dyDescent="0.2">
      <c r="B34" s="309" t="s">
        <v>98</v>
      </c>
      <c r="C34" s="309"/>
      <c r="D34" s="309"/>
      <c r="E34" s="309"/>
      <c r="F34" s="310"/>
      <c r="G34" s="310"/>
      <c r="H34" s="310"/>
      <c r="I34" s="310"/>
      <c r="J34" s="310"/>
      <c r="K34" s="310"/>
    </row>
    <row r="35" spans="2:11" s="16" customFormat="1" ht="6" customHeight="1" x14ac:dyDescent="0.2">
      <c r="B35" s="69"/>
      <c r="C35" s="69"/>
      <c r="D35" s="69"/>
      <c r="E35" s="69"/>
      <c r="F35" s="70"/>
      <c r="G35" s="70"/>
      <c r="H35" s="70"/>
      <c r="I35" s="70"/>
      <c r="J35" s="70"/>
      <c r="K35" s="70"/>
    </row>
    <row r="36" spans="2:11" s="16" customFormat="1" ht="24" customHeight="1" x14ac:dyDescent="0.2">
      <c r="B36" s="309" t="s">
        <v>97</v>
      </c>
      <c r="C36" s="309"/>
      <c r="D36" s="309"/>
      <c r="E36" s="309"/>
      <c r="F36" s="310"/>
      <c r="G36" s="310"/>
      <c r="H36" s="310"/>
      <c r="I36" s="310"/>
      <c r="J36" s="310"/>
      <c r="K36" s="310"/>
    </row>
    <row r="37" spans="2:11" s="16" customFormat="1" ht="6" customHeight="1" x14ac:dyDescent="0.2">
      <c r="B37" s="69"/>
      <c r="C37" s="69"/>
      <c r="D37" s="69"/>
      <c r="E37" s="69"/>
      <c r="F37" s="70"/>
      <c r="G37" s="70"/>
      <c r="H37" s="70"/>
      <c r="I37" s="70"/>
      <c r="J37" s="70"/>
      <c r="K37" s="70"/>
    </row>
    <row r="38" spans="2:11" s="16" customFormat="1" ht="22.5" customHeight="1" x14ac:dyDescent="0.2">
      <c r="B38" s="309" t="s">
        <v>126</v>
      </c>
      <c r="C38" s="309"/>
      <c r="D38" s="309"/>
      <c r="E38" s="309"/>
      <c r="F38" s="310"/>
      <c r="G38" s="310"/>
      <c r="H38" s="310"/>
      <c r="I38" s="310"/>
      <c r="J38" s="310"/>
      <c r="K38" s="310"/>
    </row>
    <row r="39" spans="2:11" s="16" customFormat="1" ht="15.75" customHeight="1" x14ac:dyDescent="0.2">
      <c r="B39" s="69"/>
      <c r="C39" s="69"/>
      <c r="D39" s="69"/>
      <c r="E39" s="69"/>
      <c r="F39" s="70"/>
      <c r="G39" s="70"/>
      <c r="H39" s="70"/>
      <c r="I39" s="70"/>
      <c r="J39" s="70"/>
      <c r="K39" s="70"/>
    </row>
    <row r="40" spans="2:11" s="16" customFormat="1" ht="21" customHeight="1" x14ac:dyDescent="0.2">
      <c r="B40" s="311" t="s">
        <v>73</v>
      </c>
      <c r="C40" s="312"/>
      <c r="D40" s="312"/>
      <c r="E40" s="312"/>
      <c r="F40" s="312"/>
      <c r="G40" s="312"/>
      <c r="H40" s="312"/>
      <c r="I40" s="312"/>
      <c r="J40" s="312"/>
      <c r="K40" s="312"/>
    </row>
    <row r="41" spans="2:11" s="16" customFormat="1" ht="7.5" customHeight="1" x14ac:dyDescent="0.2">
      <c r="B41" s="71"/>
      <c r="C41" s="71"/>
      <c r="D41" s="71"/>
      <c r="E41" s="71"/>
      <c r="F41" s="71"/>
      <c r="G41" s="71"/>
      <c r="H41" s="71"/>
      <c r="I41" s="71"/>
      <c r="J41" s="71"/>
      <c r="K41" s="71"/>
    </row>
    <row r="42" spans="2:11" s="16" customFormat="1" ht="20.25" customHeight="1" x14ac:dyDescent="0.2">
      <c r="B42" s="259" t="s">
        <v>204</v>
      </c>
      <c r="C42" s="259"/>
      <c r="D42" s="259"/>
      <c r="E42" s="259"/>
      <c r="F42" s="259"/>
      <c r="G42" s="259"/>
      <c r="H42" s="259"/>
      <c r="I42" s="259"/>
      <c r="J42" s="259"/>
      <c r="K42" s="259"/>
    </row>
    <row r="43" spans="2:11" s="16" customFormat="1" ht="13.5" customHeight="1" x14ac:dyDescent="0.2">
      <c r="B43" s="72"/>
      <c r="C43" s="73"/>
      <c r="D43" s="73"/>
      <c r="E43" s="73"/>
      <c r="F43" s="73"/>
      <c r="G43" s="73"/>
      <c r="H43" s="73"/>
      <c r="I43" s="73"/>
      <c r="J43" s="73"/>
      <c r="K43" s="73"/>
    </row>
    <row r="44" spans="2:11" s="16" customFormat="1" ht="19.5" customHeight="1" x14ac:dyDescent="0.2">
      <c r="B44" s="311" t="s">
        <v>72</v>
      </c>
      <c r="C44" s="312"/>
      <c r="D44" s="312"/>
      <c r="E44" s="312"/>
      <c r="F44" s="312"/>
      <c r="G44" s="312"/>
      <c r="H44" s="312"/>
      <c r="I44" s="312"/>
      <c r="J44" s="312"/>
      <c r="K44" s="312"/>
    </row>
    <row r="45" spans="2:11" s="16" customFormat="1" ht="6.75" customHeight="1" x14ac:dyDescent="0.2">
      <c r="B45" s="315"/>
      <c r="C45" s="316"/>
      <c r="D45" s="316"/>
      <c r="E45" s="316"/>
      <c r="F45" s="316"/>
      <c r="G45" s="316"/>
      <c r="H45" s="316"/>
      <c r="I45" s="316"/>
      <c r="J45" s="316"/>
      <c r="K45" s="316"/>
    </row>
    <row r="46" spans="2:11" s="16" customFormat="1" ht="6.75" customHeight="1" x14ac:dyDescent="0.2">
      <c r="B46" s="211"/>
      <c r="C46" s="212"/>
      <c r="D46" s="212"/>
      <c r="E46" s="212"/>
      <c r="F46" s="212"/>
      <c r="G46" s="212"/>
      <c r="H46" s="212"/>
      <c r="I46" s="212"/>
      <c r="J46" s="212"/>
      <c r="K46" s="212"/>
    </row>
    <row r="47" spans="2:11" s="16" customFormat="1" ht="14.25" x14ac:dyDescent="0.2">
      <c r="B47" s="256" t="s">
        <v>210</v>
      </c>
      <c r="C47" s="256"/>
      <c r="D47" s="256"/>
      <c r="E47" s="256"/>
      <c r="F47" s="256"/>
      <c r="G47" s="256"/>
      <c r="H47" s="256"/>
      <c r="I47" s="256"/>
      <c r="J47" s="256"/>
      <c r="K47" s="256"/>
    </row>
    <row r="48" spans="2:11" s="16" customFormat="1" ht="14.25" x14ac:dyDescent="0.2">
      <c r="B48" s="256" t="s">
        <v>114</v>
      </c>
      <c r="C48" s="256"/>
      <c r="D48" s="256"/>
      <c r="E48" s="256"/>
      <c r="F48" s="256"/>
      <c r="G48" s="256"/>
      <c r="H48" s="256"/>
      <c r="I48" s="256"/>
      <c r="J48" s="256"/>
      <c r="K48" s="256"/>
    </row>
    <row r="49" spans="2:15" s="16" customFormat="1" ht="14.25" x14ac:dyDescent="0.2">
      <c r="B49" s="313" t="s">
        <v>211</v>
      </c>
      <c r="C49" s="256"/>
      <c r="D49" s="256"/>
      <c r="E49" s="256"/>
      <c r="F49" s="256"/>
      <c r="G49" s="256"/>
      <c r="H49" s="256"/>
      <c r="I49" s="256"/>
      <c r="J49" s="256"/>
      <c r="K49" s="256"/>
    </row>
    <row r="50" spans="2:15" s="16" customFormat="1" ht="14.25" x14ac:dyDescent="0.2">
      <c r="B50" s="256" t="s">
        <v>167</v>
      </c>
      <c r="C50" s="256"/>
      <c r="D50" s="256"/>
      <c r="E50" s="256"/>
      <c r="F50" s="256"/>
      <c r="G50" s="256"/>
      <c r="H50" s="256"/>
      <c r="I50" s="256"/>
      <c r="J50" s="256"/>
      <c r="K50" s="256"/>
    </row>
    <row r="51" spans="2:15" s="16" customFormat="1" ht="14.25" x14ac:dyDescent="0.2">
      <c r="B51" s="313" t="s">
        <v>168</v>
      </c>
      <c r="C51" s="314"/>
      <c r="D51" s="314"/>
      <c r="E51" s="314"/>
      <c r="F51" s="314"/>
      <c r="G51" s="314"/>
      <c r="H51" s="314"/>
      <c r="I51" s="314"/>
      <c r="J51" s="314"/>
      <c r="K51" s="314"/>
    </row>
    <row r="52" spans="2:15" ht="12.75" customHeight="1" x14ac:dyDescent="0.2">
      <c r="B52" s="269" t="s">
        <v>85</v>
      </c>
      <c r="C52" s="270"/>
      <c r="D52" s="270"/>
      <c r="E52" s="270"/>
      <c r="F52" s="270"/>
      <c r="G52" s="270"/>
      <c r="H52" s="270"/>
      <c r="I52" s="270"/>
      <c r="J52" s="270"/>
      <c r="K52" s="270"/>
    </row>
    <row r="53" spans="2:15" ht="12.75" customHeight="1" x14ac:dyDescent="0.2">
      <c r="B53" s="256" t="s">
        <v>86</v>
      </c>
      <c r="C53" s="256"/>
      <c r="D53" s="256"/>
      <c r="E53" s="256"/>
      <c r="F53" s="256"/>
      <c r="G53" s="256"/>
      <c r="H53" s="256"/>
      <c r="I53" s="256"/>
      <c r="J53" s="256"/>
      <c r="K53" s="256"/>
    </row>
    <row r="54" spans="2:15" ht="12.75" customHeight="1" x14ac:dyDescent="0.2">
      <c r="B54" s="209"/>
      <c r="C54" s="209"/>
      <c r="D54" s="209"/>
      <c r="E54" s="209"/>
      <c r="F54" s="209"/>
      <c r="G54" s="209"/>
      <c r="H54" s="209"/>
      <c r="I54" s="209"/>
      <c r="J54" s="209"/>
      <c r="K54" s="209"/>
    </row>
    <row r="55" spans="2:15" ht="12.75" customHeight="1" x14ac:dyDescent="0.2">
      <c r="B55" s="269" t="s">
        <v>205</v>
      </c>
      <c r="C55" s="270"/>
      <c r="D55" s="270"/>
      <c r="E55" s="270"/>
      <c r="F55" s="270"/>
      <c r="G55" s="270"/>
      <c r="H55" s="270"/>
      <c r="I55" s="270"/>
      <c r="J55" s="270"/>
      <c r="K55" s="270"/>
    </row>
    <row r="56" spans="2:15" ht="15.75" customHeight="1" x14ac:dyDescent="0.2">
      <c r="B56" s="256" t="s">
        <v>87</v>
      </c>
      <c r="C56" s="256"/>
      <c r="D56" s="256"/>
      <c r="E56" s="256"/>
      <c r="F56" s="256"/>
      <c r="G56" s="256"/>
      <c r="H56" s="256"/>
      <c r="I56" s="256"/>
      <c r="J56" s="256"/>
      <c r="K56" s="256"/>
      <c r="L56" s="5"/>
      <c r="M56" s="5"/>
      <c r="N56" s="4"/>
    </row>
    <row r="57" spans="2:15" ht="14.25" customHeight="1" x14ac:dyDescent="0.2">
      <c r="B57" s="256" t="s">
        <v>88</v>
      </c>
      <c r="C57" s="256"/>
      <c r="D57" s="256"/>
      <c r="E57" s="256"/>
      <c r="F57" s="256"/>
      <c r="G57" s="256"/>
      <c r="H57" s="256"/>
      <c r="I57" s="256"/>
      <c r="J57" s="256"/>
      <c r="K57" s="256"/>
      <c r="L57" s="5"/>
      <c r="M57" s="5"/>
      <c r="N57" s="4"/>
    </row>
    <row r="58" spans="2:15" ht="13.5" customHeight="1" x14ac:dyDescent="0.2">
      <c r="B58" s="256" t="s">
        <v>89</v>
      </c>
      <c r="C58" s="256"/>
      <c r="D58" s="256"/>
      <c r="E58" s="256"/>
      <c r="F58" s="256"/>
      <c r="G58" s="256"/>
      <c r="H58" s="256"/>
      <c r="I58" s="256"/>
      <c r="J58" s="256"/>
      <c r="K58" s="256"/>
      <c r="L58" s="5"/>
      <c r="M58" s="5"/>
      <c r="N58" s="4"/>
    </row>
    <row r="59" spans="2:15" ht="12.75" customHeight="1" x14ac:dyDescent="0.2">
      <c r="B59" s="256" t="s">
        <v>90</v>
      </c>
      <c r="C59" s="256"/>
      <c r="D59" s="256"/>
      <c r="E59" s="256"/>
      <c r="F59" s="256"/>
      <c r="G59" s="256"/>
      <c r="H59" s="256"/>
      <c r="I59" s="256"/>
      <c r="J59" s="256"/>
      <c r="K59" s="256"/>
    </row>
    <row r="60" spans="2:15" ht="12.75" customHeight="1" x14ac:dyDescent="0.2">
      <c r="B60" s="209"/>
      <c r="C60" s="209"/>
      <c r="D60" s="209"/>
      <c r="E60" s="209"/>
      <c r="F60" s="209"/>
      <c r="G60" s="209"/>
      <c r="H60" s="209"/>
      <c r="I60" s="209"/>
      <c r="J60" s="209"/>
      <c r="K60" s="209"/>
    </row>
    <row r="61" spans="2:15" ht="12.75" customHeight="1" x14ac:dyDescent="0.2">
      <c r="B61" s="269" t="s">
        <v>206</v>
      </c>
      <c r="C61" s="270"/>
      <c r="D61" s="270"/>
      <c r="E61" s="270"/>
      <c r="F61" s="270"/>
      <c r="G61" s="270"/>
      <c r="H61" s="270"/>
      <c r="I61" s="270"/>
      <c r="J61" s="270"/>
      <c r="K61" s="270"/>
    </row>
    <row r="62" spans="2:15" ht="12.75" customHeight="1" x14ac:dyDescent="0.2">
      <c r="B62" s="256" t="s">
        <v>91</v>
      </c>
      <c r="C62" s="256"/>
      <c r="D62" s="256"/>
      <c r="E62" s="256"/>
      <c r="F62" s="256"/>
      <c r="G62" s="256"/>
      <c r="H62" s="256"/>
      <c r="I62" s="256"/>
      <c r="J62" s="256"/>
      <c r="K62" s="256"/>
    </row>
    <row r="63" spans="2:15" ht="15" x14ac:dyDescent="0.2">
      <c r="B63" s="256" t="s">
        <v>92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3"/>
      <c r="M63" s="3"/>
      <c r="N63" s="3"/>
      <c r="O63" s="3"/>
    </row>
    <row r="64" spans="2:15" ht="15" customHeight="1" x14ac:dyDescent="0.2">
      <c r="B64" s="256" t="s">
        <v>93</v>
      </c>
      <c r="C64" s="256"/>
      <c r="D64" s="256"/>
      <c r="E64" s="256"/>
      <c r="F64" s="256"/>
      <c r="G64" s="256"/>
      <c r="H64" s="256"/>
      <c r="I64" s="256"/>
      <c r="J64" s="256"/>
      <c r="K64" s="256"/>
      <c r="L64" s="3"/>
      <c r="M64" s="3"/>
      <c r="N64" s="3"/>
      <c r="O64" s="3"/>
    </row>
    <row r="65" spans="2:15" ht="15" customHeight="1" x14ac:dyDescent="0.2"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3"/>
      <c r="M65" s="3"/>
      <c r="N65" s="3"/>
      <c r="O65" s="3"/>
    </row>
    <row r="66" spans="2:15" ht="15" customHeight="1" x14ac:dyDescent="0.2">
      <c r="B66" s="302" t="s">
        <v>212</v>
      </c>
      <c r="C66" s="256"/>
      <c r="D66" s="256"/>
      <c r="E66" s="256"/>
      <c r="F66" s="256"/>
      <c r="G66" s="256"/>
      <c r="H66" s="256"/>
      <c r="I66" s="256"/>
      <c r="J66" s="256"/>
      <c r="K66" s="256"/>
      <c r="L66" s="3"/>
      <c r="M66" s="3"/>
      <c r="N66" s="3"/>
      <c r="O66" s="3"/>
    </row>
    <row r="67" spans="2:15" ht="9" customHeight="1" x14ac:dyDescent="0.2">
      <c r="B67" s="210"/>
      <c r="C67" s="209"/>
      <c r="D67" s="209"/>
      <c r="E67" s="209"/>
      <c r="F67" s="209"/>
      <c r="G67" s="209"/>
      <c r="H67" s="209"/>
      <c r="I67" s="209"/>
      <c r="J67" s="209"/>
      <c r="K67" s="209"/>
      <c r="L67" s="3"/>
      <c r="M67" s="3"/>
      <c r="N67" s="3"/>
      <c r="O67" s="3"/>
    </row>
    <row r="68" spans="2:15" s="35" customFormat="1" ht="9" customHeight="1" x14ac:dyDescent="0.2">
      <c r="B68" s="74"/>
      <c r="C68" s="75"/>
      <c r="D68" s="75"/>
      <c r="E68" s="75"/>
      <c r="F68" s="75"/>
      <c r="G68" s="75"/>
      <c r="H68" s="75"/>
      <c r="I68" s="75"/>
      <c r="J68" s="75"/>
      <c r="K68" s="75"/>
      <c r="L68" s="76"/>
      <c r="M68" s="76"/>
      <c r="N68" s="76"/>
      <c r="O68" s="76"/>
    </row>
    <row r="69" spans="2:15" ht="18" customHeight="1" x14ac:dyDescent="0.2">
      <c r="B69" s="267" t="s">
        <v>207</v>
      </c>
      <c r="C69" s="268"/>
      <c r="D69" s="268"/>
      <c r="E69" s="268"/>
      <c r="F69" s="268"/>
      <c r="G69" s="268"/>
      <c r="H69" s="268"/>
      <c r="I69" s="268"/>
      <c r="J69" s="268"/>
      <c r="K69" s="268"/>
      <c r="L69" s="3"/>
      <c r="M69" s="3"/>
      <c r="N69" s="3"/>
      <c r="O69" s="3"/>
    </row>
    <row r="70" spans="2:15" s="35" customFormat="1" ht="6.75" customHeight="1" x14ac:dyDescent="0.2"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6"/>
      <c r="M70" s="76"/>
      <c r="N70" s="76"/>
      <c r="O70" s="76"/>
    </row>
    <row r="71" spans="2:15" ht="18" customHeight="1" x14ac:dyDescent="0.2">
      <c r="B71" s="296" t="s">
        <v>107</v>
      </c>
      <c r="C71" s="300"/>
      <c r="D71" s="296" t="s">
        <v>108</v>
      </c>
      <c r="E71" s="297"/>
      <c r="F71" s="298"/>
      <c r="G71" s="301"/>
      <c r="H71" s="296" t="s">
        <v>109</v>
      </c>
      <c r="I71" s="297"/>
      <c r="J71" s="298"/>
      <c r="K71" s="299"/>
      <c r="L71" s="3"/>
      <c r="M71" s="3"/>
      <c r="N71" s="3"/>
      <c r="O71" s="3"/>
    </row>
    <row r="72" spans="2:15" ht="18" customHeight="1" x14ac:dyDescent="0.2">
      <c r="B72" s="272" t="s">
        <v>76</v>
      </c>
      <c r="C72" s="273"/>
      <c r="D72" s="274" t="s">
        <v>119</v>
      </c>
      <c r="E72" s="275"/>
      <c r="F72" s="275"/>
      <c r="G72" s="287"/>
      <c r="H72" s="274" t="s">
        <v>110</v>
      </c>
      <c r="I72" s="275"/>
      <c r="J72" s="275"/>
      <c r="K72" s="276"/>
      <c r="L72" s="3"/>
      <c r="M72" s="3"/>
      <c r="N72" s="3"/>
      <c r="O72" s="3"/>
    </row>
    <row r="73" spans="2:15" ht="18" customHeight="1" x14ac:dyDescent="0.2">
      <c r="B73" s="290" t="s">
        <v>79</v>
      </c>
      <c r="C73" s="291"/>
      <c r="D73" s="282" t="s">
        <v>116</v>
      </c>
      <c r="E73" s="283"/>
      <c r="F73" s="283"/>
      <c r="G73" s="288"/>
      <c r="H73" s="282" t="s">
        <v>192</v>
      </c>
      <c r="I73" s="283"/>
      <c r="J73" s="283"/>
      <c r="K73" s="284"/>
      <c r="L73" s="3"/>
      <c r="M73" s="3"/>
      <c r="N73" s="3"/>
      <c r="O73" s="3"/>
    </row>
    <row r="74" spans="2:15" ht="18" customHeight="1" x14ac:dyDescent="0.2">
      <c r="B74" s="292" t="s">
        <v>77</v>
      </c>
      <c r="C74" s="293"/>
      <c r="D74" s="277" t="s">
        <v>127</v>
      </c>
      <c r="E74" s="278"/>
      <c r="F74" s="278"/>
      <c r="G74" s="289"/>
      <c r="H74" s="277" t="s">
        <v>111</v>
      </c>
      <c r="I74" s="278"/>
      <c r="J74" s="278"/>
      <c r="K74" s="279"/>
      <c r="L74" s="3"/>
      <c r="M74" s="3"/>
      <c r="N74" s="3"/>
      <c r="O74" s="3"/>
    </row>
    <row r="75" spans="2:15" ht="18" customHeight="1" x14ac:dyDescent="0.2">
      <c r="B75" s="294" t="s">
        <v>253</v>
      </c>
      <c r="C75" s="295"/>
      <c r="D75" s="277" t="s">
        <v>128</v>
      </c>
      <c r="E75" s="278"/>
      <c r="F75" s="278"/>
      <c r="G75" s="289"/>
      <c r="H75" s="277" t="s">
        <v>111</v>
      </c>
      <c r="I75" s="278"/>
      <c r="J75" s="278"/>
      <c r="K75" s="279"/>
      <c r="L75" s="3"/>
      <c r="M75" s="3"/>
      <c r="N75" s="3"/>
      <c r="O75" s="3"/>
    </row>
    <row r="76" spans="2:15" ht="18" customHeight="1" x14ac:dyDescent="0.2">
      <c r="B76" s="280" t="s">
        <v>78</v>
      </c>
      <c r="C76" s="281"/>
      <c r="D76" s="277" t="s">
        <v>74</v>
      </c>
      <c r="E76" s="278"/>
      <c r="F76" s="278"/>
      <c r="G76" s="289"/>
      <c r="H76" s="277" t="s">
        <v>112</v>
      </c>
      <c r="I76" s="278"/>
      <c r="J76" s="278"/>
      <c r="K76" s="279"/>
      <c r="L76" s="3"/>
      <c r="M76" s="3"/>
      <c r="N76" s="3"/>
      <c r="O76" s="3"/>
    </row>
    <row r="77" spans="2:15" ht="18" customHeight="1" x14ac:dyDescent="0.2">
      <c r="B77" s="285" t="s">
        <v>252</v>
      </c>
      <c r="C77" s="286"/>
      <c r="D77" s="264" t="s">
        <v>75</v>
      </c>
      <c r="E77" s="265"/>
      <c r="F77" s="265"/>
      <c r="G77" s="271"/>
      <c r="H77" s="264" t="s">
        <v>113</v>
      </c>
      <c r="I77" s="265"/>
      <c r="J77" s="265"/>
      <c r="K77" s="266"/>
      <c r="L77" s="3"/>
      <c r="M77" s="3"/>
      <c r="N77" s="3"/>
      <c r="O77" s="3"/>
    </row>
    <row r="78" spans="2:15" ht="15" x14ac:dyDescent="0.2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</row>
    <row r="79" spans="2:15" ht="15" x14ac:dyDescent="0.2">
      <c r="C79" s="3"/>
      <c r="D79" s="3"/>
      <c r="E79" s="3"/>
      <c r="F79" s="3"/>
      <c r="G79" s="3"/>
      <c r="H79" s="3"/>
      <c r="I79" s="3"/>
      <c r="J79" s="3"/>
      <c r="K79" s="3"/>
      <c r="L79" s="10"/>
      <c r="M79" s="3"/>
      <c r="N79" s="3"/>
      <c r="O79" s="3"/>
    </row>
    <row r="80" spans="2:15" ht="15" x14ac:dyDescent="0.2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</row>
    <row r="81" spans="3:15" ht="15" x14ac:dyDescent="0.2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</row>
    <row r="82" spans="3:15" ht="15" x14ac:dyDescent="0.2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</row>
    <row r="83" spans="3:15" ht="15" x14ac:dyDescent="0.2">
      <c r="L83" s="3"/>
      <c r="M83" s="3"/>
      <c r="N83" s="3"/>
      <c r="O83" s="3"/>
    </row>
    <row r="84" spans="3:15" ht="15" x14ac:dyDescent="0.2">
      <c r="L84" s="3"/>
      <c r="M84" s="3"/>
      <c r="N84" s="3"/>
      <c r="O84" s="3"/>
    </row>
    <row r="85" spans="3:15" ht="15" x14ac:dyDescent="0.2">
      <c r="L85" s="3"/>
      <c r="M85" s="3"/>
      <c r="N85" s="3"/>
      <c r="O85" s="3"/>
    </row>
    <row r="86" spans="3:15" ht="15" x14ac:dyDescent="0.2">
      <c r="L86" s="3"/>
      <c r="M86" s="3"/>
      <c r="N86" s="3"/>
      <c r="O86" s="3"/>
    </row>
    <row r="87" spans="3:15" ht="15" x14ac:dyDescent="0.2">
      <c r="L87" s="3"/>
      <c r="M87" s="3"/>
      <c r="N87" s="3"/>
      <c r="O87" s="3"/>
    </row>
    <row r="88" spans="3:15" ht="15" x14ac:dyDescent="0.2">
      <c r="L88" s="3"/>
      <c r="M88" s="3"/>
      <c r="N88" s="3"/>
      <c r="O88" s="3"/>
    </row>
    <row r="89" spans="3:15" ht="15" x14ac:dyDescent="0.2">
      <c r="L89" s="3"/>
      <c r="M89" s="3"/>
      <c r="N89" s="3"/>
      <c r="O89" s="3"/>
    </row>
    <row r="90" spans="3:15" ht="15" x14ac:dyDescent="0.2">
      <c r="L90" s="3"/>
      <c r="M90" s="3"/>
      <c r="N90" s="3"/>
      <c r="O90" s="3"/>
    </row>
    <row r="91" spans="3:15" ht="15" x14ac:dyDescent="0.2">
      <c r="L91" s="3"/>
      <c r="M91" s="3"/>
      <c r="N91" s="3"/>
      <c r="O91" s="3"/>
    </row>
    <row r="92" spans="3:15" ht="15" x14ac:dyDescent="0.2">
      <c r="L92" s="8"/>
      <c r="M92" s="3"/>
      <c r="N92" s="3"/>
      <c r="O92" s="3"/>
    </row>
    <row r="93" spans="3:15" ht="15" x14ac:dyDescent="0.2">
      <c r="L93" s="7"/>
      <c r="M93" s="3"/>
      <c r="N93" s="3"/>
      <c r="O93" s="3"/>
    </row>
    <row r="94" spans="3:15" ht="15" x14ac:dyDescent="0.2">
      <c r="L94" s="7"/>
      <c r="M94" s="3"/>
      <c r="N94" s="3"/>
      <c r="O94" s="3"/>
    </row>
    <row r="95" spans="3:15" ht="13.5" customHeight="1" x14ac:dyDescent="0.2">
      <c r="L95" s="3"/>
      <c r="M95" s="3"/>
      <c r="N95" s="3"/>
      <c r="O95" s="3"/>
    </row>
    <row r="96" spans="3:15" ht="15" x14ac:dyDescent="0.2">
      <c r="L96" s="3"/>
      <c r="M96" s="3"/>
      <c r="N96" s="3"/>
      <c r="O96" s="3"/>
    </row>
    <row r="97" spans="12:15" ht="11.25" customHeight="1" x14ac:dyDescent="0.2">
      <c r="L97" s="3"/>
      <c r="M97" s="3"/>
      <c r="N97" s="3"/>
      <c r="O97" s="3"/>
    </row>
    <row r="98" spans="12:15" ht="15" customHeight="1" x14ac:dyDescent="0.2">
      <c r="L98" s="3"/>
      <c r="M98" s="3"/>
      <c r="N98" s="3"/>
      <c r="O98" s="3"/>
    </row>
    <row r="99" spans="12:15" ht="15" customHeight="1" x14ac:dyDescent="0.2">
      <c r="L99" s="3"/>
      <c r="M99" s="3"/>
      <c r="N99" s="3"/>
      <c r="O99" s="3"/>
    </row>
    <row r="100" spans="12:15" ht="15" x14ac:dyDescent="0.2">
      <c r="L100" s="3"/>
      <c r="M100" s="3"/>
      <c r="N100" s="3"/>
      <c r="O100" s="3"/>
    </row>
    <row r="101" spans="12:15" ht="15" x14ac:dyDescent="0.2">
      <c r="L101" s="3"/>
      <c r="M101" s="3"/>
      <c r="N101" s="3"/>
      <c r="O101" s="3"/>
    </row>
    <row r="102" spans="12:15" ht="15" x14ac:dyDescent="0.2">
      <c r="L102" s="3"/>
      <c r="M102" s="3"/>
      <c r="N102" s="3"/>
      <c r="O102" s="3"/>
    </row>
    <row r="103" spans="12:15" ht="27.75" customHeight="1" x14ac:dyDescent="0.2">
      <c r="L103" s="3"/>
      <c r="M103" s="3"/>
      <c r="N103" s="3"/>
      <c r="O103" s="3"/>
    </row>
    <row r="104" spans="12:15" ht="15" x14ac:dyDescent="0.2">
      <c r="L104" s="3"/>
      <c r="M104" s="3"/>
      <c r="N104" s="3"/>
      <c r="O104" s="3"/>
    </row>
    <row r="105" spans="12:15" ht="15" x14ac:dyDescent="0.2">
      <c r="L105" s="3"/>
      <c r="M105" s="3"/>
      <c r="N105" s="3"/>
      <c r="O105" s="3"/>
    </row>
    <row r="106" spans="12:15" ht="15" x14ac:dyDescent="0.2">
      <c r="L106" s="10"/>
      <c r="M106" s="3"/>
      <c r="N106" s="3"/>
      <c r="O106" s="3"/>
    </row>
    <row r="107" spans="12:15" ht="15" x14ac:dyDescent="0.2">
      <c r="L107" s="10"/>
    </row>
    <row r="108" spans="12:15" ht="12.75" customHeight="1" x14ac:dyDescent="0.2">
      <c r="L108" s="9"/>
    </row>
    <row r="109" spans="12:15" ht="18.75" customHeight="1" x14ac:dyDescent="0.2">
      <c r="L109" s="11"/>
      <c r="M109" s="9"/>
    </row>
    <row r="110" spans="12:15" ht="12.75" customHeight="1" x14ac:dyDescent="0.2">
      <c r="L110" s="3"/>
      <c r="M110" s="8"/>
    </row>
    <row r="111" spans="12:15" ht="12.75" customHeight="1" x14ac:dyDescent="0.2">
      <c r="L111" s="3"/>
      <c r="M111" s="8"/>
    </row>
    <row r="112" spans="12:15" ht="12.75" customHeight="1" x14ac:dyDescent="0.2">
      <c r="L112" s="3"/>
      <c r="M112" s="8"/>
    </row>
    <row r="113" spans="12:13" ht="15" x14ac:dyDescent="0.2">
      <c r="L113" s="3"/>
    </row>
    <row r="114" spans="12:13" ht="15" x14ac:dyDescent="0.2">
      <c r="L114" s="3"/>
    </row>
    <row r="115" spans="12:13" ht="15" x14ac:dyDescent="0.2">
      <c r="L115" s="3"/>
    </row>
    <row r="116" spans="12:13" ht="15" x14ac:dyDescent="0.2">
      <c r="L116" s="3"/>
      <c r="M116" s="3"/>
    </row>
    <row r="117" spans="12:13" ht="15" x14ac:dyDescent="0.2">
      <c r="L117" s="3"/>
      <c r="M117" s="3"/>
    </row>
    <row r="118" spans="12:13" ht="15" x14ac:dyDescent="0.2">
      <c r="L118" s="3"/>
      <c r="M118" s="3"/>
    </row>
    <row r="119" spans="12:13" ht="15" x14ac:dyDescent="0.2">
      <c r="L119" s="3"/>
      <c r="M119" s="3"/>
    </row>
    <row r="120" spans="12:13" ht="15" x14ac:dyDescent="0.2">
      <c r="L120" s="3"/>
      <c r="M120" s="3"/>
    </row>
    <row r="121" spans="12:13" ht="15" x14ac:dyDescent="0.2">
      <c r="M121" s="3"/>
    </row>
    <row r="122" spans="12:13" ht="15" x14ac:dyDescent="0.2">
      <c r="M122" s="3"/>
    </row>
    <row r="123" spans="12:13" ht="15" x14ac:dyDescent="0.2">
      <c r="M123" s="3"/>
    </row>
    <row r="124" spans="12:13" ht="15" x14ac:dyDescent="0.2">
      <c r="M124" s="3"/>
    </row>
    <row r="125" spans="12:13" ht="15" x14ac:dyDescent="0.2">
      <c r="M125" s="3"/>
    </row>
    <row r="126" spans="12:13" ht="15" x14ac:dyDescent="0.2">
      <c r="M126" s="3"/>
    </row>
    <row r="127" spans="12:13" ht="15" x14ac:dyDescent="0.2">
      <c r="M127" s="3"/>
    </row>
    <row r="128" spans="12:13" ht="15" x14ac:dyDescent="0.2">
      <c r="M128" s="3"/>
    </row>
  </sheetData>
  <sheetProtection password="F7AF" sheet="1" objects="1" scenarios="1"/>
  <mergeCells count="51">
    <mergeCell ref="B2:K2"/>
    <mergeCell ref="B56:K56"/>
    <mergeCell ref="B57:K57"/>
    <mergeCell ref="B58:K58"/>
    <mergeCell ref="B63:K63"/>
    <mergeCell ref="B5:K5"/>
    <mergeCell ref="B32:K32"/>
    <mergeCell ref="B38:K38"/>
    <mergeCell ref="B36:K36"/>
    <mergeCell ref="B44:K44"/>
    <mergeCell ref="B34:K34"/>
    <mergeCell ref="B40:K40"/>
    <mergeCell ref="B50:K50"/>
    <mergeCell ref="B51:K51"/>
    <mergeCell ref="B49:K49"/>
    <mergeCell ref="B45:K45"/>
    <mergeCell ref="B64:K64"/>
    <mergeCell ref="H71:K71"/>
    <mergeCell ref="B71:C71"/>
    <mergeCell ref="D71:G71"/>
    <mergeCell ref="B66:K66"/>
    <mergeCell ref="B77:C77"/>
    <mergeCell ref="D72:G72"/>
    <mergeCell ref="D73:G73"/>
    <mergeCell ref="D74:G74"/>
    <mergeCell ref="D76:G76"/>
    <mergeCell ref="D75:G75"/>
    <mergeCell ref="B73:C73"/>
    <mergeCell ref="B74:C74"/>
    <mergeCell ref="B75:C75"/>
    <mergeCell ref="H77:K77"/>
    <mergeCell ref="B69:K69"/>
    <mergeCell ref="B59:K59"/>
    <mergeCell ref="B52:K52"/>
    <mergeCell ref="B53:K53"/>
    <mergeCell ref="D77:G77"/>
    <mergeCell ref="B72:C72"/>
    <mergeCell ref="H72:K72"/>
    <mergeCell ref="H74:K74"/>
    <mergeCell ref="H76:K76"/>
    <mergeCell ref="B76:C76"/>
    <mergeCell ref="H73:K73"/>
    <mergeCell ref="H75:K75"/>
    <mergeCell ref="B55:K55"/>
    <mergeCell ref="B61:K61"/>
    <mergeCell ref="B62:K62"/>
    <mergeCell ref="B47:K47"/>
    <mergeCell ref="B4:K4"/>
    <mergeCell ref="B42:K42"/>
    <mergeCell ref="B6:K6"/>
    <mergeCell ref="B48:K48"/>
  </mergeCells>
  <phoneticPr fontId="0" type="noConversion"/>
  <hyperlinks>
    <hyperlink ref="B34:E34" location="MARATHON6!A1" tooltip="Cliquez sur cette zone pour aller dans le plan" display="Un plan sur 6 séances hebdomadaires;"/>
    <hyperlink ref="B38:E38" location="MARATHON4!A1" tooltip="Cliquez ici pour aller dans le plan" display="Un plan sur 4 séances hebdomadaires."/>
    <hyperlink ref="B36:E36" location="MARATHON5!A1" tooltip="Cliquez ici pour aller dans le plan" display="Un plan sur 5 séances hebdomadaires;"/>
    <hyperlink ref="B38:K38" location="'20 Km 3 ent.'!A1" tooltip="Cliquez ici pour aller dans le plan" display="Un plan sur 3 séances hebdomadaires"/>
    <hyperlink ref="B36:K36" location="'20 Km 4 ent.'!A1" tooltip="Cliquez ici pour aller dans le plan" display="Un plan sur 4 séances hebdomadaires"/>
    <hyperlink ref="B34:K34" location="'20 Km 5 ent.'!A1" tooltip="Cliquez sur cette zone pour aller dans le plan" display="Un plan sur 5 séances hebdomadaires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0"/>
  </sheetPr>
  <dimension ref="B1:AS34"/>
  <sheetViews>
    <sheetView showGridLines="0" zoomScaleNormal="100" workbookViewId="0">
      <selection activeCell="H10" sqref="H10"/>
    </sheetView>
  </sheetViews>
  <sheetFormatPr baseColWidth="10" defaultRowHeight="12.75" x14ac:dyDescent="0.2"/>
  <cols>
    <col min="2" max="2" width="64" bestFit="1" customWidth="1"/>
    <col min="3" max="3" width="8.140625" bestFit="1" customWidth="1"/>
    <col min="4" max="4" width="8" customWidth="1"/>
    <col min="5" max="5" width="47.5703125" customWidth="1"/>
    <col min="6" max="6" width="12.140625" customWidth="1"/>
    <col min="7" max="7" width="8.28515625" customWidth="1"/>
    <col min="8" max="8" width="14.42578125" customWidth="1"/>
    <col min="9" max="9" width="16" customWidth="1"/>
    <col min="10" max="13" width="12.28515625" customWidth="1"/>
  </cols>
  <sheetData>
    <row r="1" spans="2:45" ht="17.25" customHeight="1" x14ac:dyDescent="0.2">
      <c r="AS1" s="36">
        <v>2000</v>
      </c>
    </row>
    <row r="2" spans="2:45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67"/>
      <c r="K2" s="67"/>
      <c r="L2" s="67"/>
    </row>
    <row r="6" spans="2:45" ht="20.25" customHeight="1" x14ac:dyDescent="0.2">
      <c r="B6" s="321" t="s">
        <v>0</v>
      </c>
      <c r="C6" s="321"/>
      <c r="D6" s="321"/>
      <c r="E6" s="321"/>
      <c r="F6" s="321"/>
    </row>
    <row r="7" spans="2:45" s="35" customFormat="1" ht="6.75" customHeight="1" x14ac:dyDescent="0.2">
      <c r="B7" s="78"/>
      <c r="C7" s="78"/>
      <c r="D7" s="78"/>
      <c r="E7" s="78"/>
      <c r="F7" s="78"/>
    </row>
    <row r="8" spans="2:45" ht="18" customHeight="1" x14ac:dyDescent="0.2">
      <c r="B8" s="322" t="s">
        <v>23</v>
      </c>
      <c r="C8" s="322"/>
      <c r="D8" s="79" t="s">
        <v>24</v>
      </c>
      <c r="E8" s="323" t="s">
        <v>142</v>
      </c>
      <c r="F8" s="323"/>
    </row>
    <row r="9" spans="2:45" ht="18" customHeight="1" x14ac:dyDescent="0.2">
      <c r="B9" s="172" t="s">
        <v>145</v>
      </c>
      <c r="C9" s="81">
        <v>2000</v>
      </c>
      <c r="D9" s="324"/>
      <c r="E9" s="179" t="s">
        <v>137</v>
      </c>
      <c r="F9" s="86">
        <v>5.0694444444444452E-2</v>
      </c>
    </row>
    <row r="10" spans="2:45" ht="18" customHeight="1" x14ac:dyDescent="0.2">
      <c r="B10" s="177" t="s">
        <v>146</v>
      </c>
      <c r="C10" s="82">
        <v>4.3981481481481484E-3</v>
      </c>
      <c r="D10" s="325"/>
      <c r="E10" s="180" t="s">
        <v>117</v>
      </c>
      <c r="F10" s="87">
        <v>40158</v>
      </c>
    </row>
    <row r="11" spans="2:45" ht="18" customHeight="1" x14ac:dyDescent="0.2">
      <c r="B11" s="173" t="s">
        <v>31</v>
      </c>
      <c r="C11" s="195" t="str">
        <f>TEXT(cat_test_3/K_test,"mm:ss")</f>
        <v>03:10</v>
      </c>
      <c r="D11" s="325"/>
      <c r="E11" s="327" t="s">
        <v>16</v>
      </c>
      <c r="F11" s="328"/>
      <c r="G11" s="2"/>
    </row>
    <row r="12" spans="2:45" ht="18" customHeight="1" x14ac:dyDescent="0.2">
      <c r="B12" s="173" t="s">
        <v>32</v>
      </c>
      <c r="C12" s="196">
        <f>(HOUR(cat_test_3)*3600+MINUTE(cat_test_3)*60+SECOND(cat_test_3))/K_test</f>
        <v>190</v>
      </c>
      <c r="D12" s="325"/>
      <c r="E12" s="181" t="str">
        <f>IF(D_test=2000,"Test 2000m pour objectif:","CAT test 1500m pour objectif:")</f>
        <v>Test 2000m pour objectif:</v>
      </c>
      <c r="F12" s="204" t="str">
        <f>TEXT(((objectif/(dist_semi/K_test))*k_semi),"h:mm:ss")</f>
        <v>0:06:21</v>
      </c>
    </row>
    <row r="13" spans="2:45" ht="18" customHeight="1" x14ac:dyDescent="0.2">
      <c r="B13" s="173" t="s">
        <v>1</v>
      </c>
      <c r="C13" s="197">
        <f>1000/cat_sec</f>
        <v>5.2631578947368425</v>
      </c>
      <c r="D13" s="325"/>
      <c r="E13" s="182" t="s">
        <v>17</v>
      </c>
      <c r="F13" s="205" t="str">
        <f>TEXT(((objectif/dist_semi)*k_semi),"hh:mm:ss")</f>
        <v>00:03:11</v>
      </c>
      <c r="H13" s="35"/>
    </row>
    <row r="14" spans="2:45" ht="18" customHeight="1" x14ac:dyDescent="0.2">
      <c r="B14" s="173" t="s">
        <v>214</v>
      </c>
      <c r="C14" s="198">
        <f>1/cat_sec*3600</f>
        <v>18.94736842105263</v>
      </c>
      <c r="D14" s="325"/>
      <c r="E14" s="185"/>
      <c r="F14" s="186"/>
    </row>
    <row r="15" spans="2:45" ht="18" customHeight="1" x14ac:dyDescent="0.2">
      <c r="B15" s="174" t="s">
        <v>46</v>
      </c>
      <c r="C15" s="199">
        <f>cat_kmh*ind_vma</f>
        <v>67.263157894736835</v>
      </c>
      <c r="D15" s="326"/>
      <c r="E15" s="185"/>
      <c r="F15" s="186"/>
      <c r="G15" s="6"/>
    </row>
    <row r="16" spans="2:45" ht="18" customHeight="1" x14ac:dyDescent="0.2">
      <c r="B16" s="319" t="s">
        <v>143</v>
      </c>
      <c r="C16" s="320"/>
      <c r="D16" s="84">
        <v>60</v>
      </c>
      <c r="E16" s="187" t="s">
        <v>223</v>
      </c>
      <c r="F16" s="186"/>
    </row>
    <row r="17" spans="2:8" ht="18" customHeight="1" x14ac:dyDescent="0.2">
      <c r="B17" s="317" t="s">
        <v>144</v>
      </c>
      <c r="C17" s="318"/>
      <c r="D17" s="83">
        <v>190</v>
      </c>
      <c r="E17" s="187" t="s">
        <v>196</v>
      </c>
      <c r="F17" s="186"/>
    </row>
    <row r="18" spans="2:8" ht="18" customHeight="1" x14ac:dyDescent="0.2">
      <c r="B18" s="178" t="s">
        <v>141</v>
      </c>
      <c r="C18" s="85">
        <v>1000</v>
      </c>
      <c r="D18" s="193">
        <f>fc_repos+(z_travail*0.9)</f>
        <v>177</v>
      </c>
      <c r="E18" s="187" t="s">
        <v>197</v>
      </c>
      <c r="F18" s="188"/>
    </row>
    <row r="19" spans="2:8" ht="18" customHeight="1" x14ac:dyDescent="0.2">
      <c r="B19" s="175" t="s">
        <v>54</v>
      </c>
      <c r="C19" s="200" t="str">
        <f>TEXT(INT(C21/60),"00")&amp;":"&amp;TEXT(C21-(INT(C21/60)*60),"00")</f>
        <v>03:10</v>
      </c>
      <c r="D19" s="193">
        <f>fc_repos+(z_travail*0.9)</f>
        <v>177</v>
      </c>
      <c r="E19" s="187" t="s">
        <v>198</v>
      </c>
      <c r="F19" s="188"/>
      <c r="H19" s="88"/>
    </row>
    <row r="20" spans="2:8" ht="18" customHeight="1" x14ac:dyDescent="0.2">
      <c r="B20" s="175" t="s">
        <v>39</v>
      </c>
      <c r="C20" s="201">
        <f>C18/C21*3.6</f>
        <v>18.947368421052634</v>
      </c>
      <c r="D20" s="193">
        <f>fc_repos+(z_travail*0.9)</f>
        <v>177</v>
      </c>
      <c r="E20" s="185"/>
      <c r="F20" s="189"/>
    </row>
    <row r="21" spans="2:8" ht="18" customHeight="1" x14ac:dyDescent="0.2">
      <c r="B21" s="175" t="s">
        <v>57</v>
      </c>
      <c r="C21" s="202">
        <f>dist_vma/(C13+(0.075*((1000-dist_vma)/1000)))</f>
        <v>190</v>
      </c>
      <c r="D21" s="193">
        <f>fc_repos+(z_travail*0.9)</f>
        <v>177</v>
      </c>
      <c r="E21" s="192" t="s">
        <v>138</v>
      </c>
      <c r="F21" s="183" t="str">
        <f>TEXT(objectif/dist_semi,"hh:mm:ss")</f>
        <v>00:03:39</v>
      </c>
    </row>
    <row r="22" spans="2:8" ht="18" customHeight="1" x14ac:dyDescent="0.2">
      <c r="B22" s="175" t="s">
        <v>188</v>
      </c>
      <c r="C22" s="200">
        <f>cat_test_3/K_test/0.89</f>
        <v>2.4708697461506453E-3</v>
      </c>
      <c r="D22" s="193">
        <f>fc_repos+(z_travail*0.87)</f>
        <v>173.1</v>
      </c>
      <c r="E22" s="190"/>
      <c r="F22" s="191"/>
    </row>
    <row r="23" spans="2:8" ht="18" customHeight="1" x14ac:dyDescent="0.2">
      <c r="B23" s="175" t="s">
        <v>64</v>
      </c>
      <c r="C23" s="203">
        <f>cat_test_3/K_test/0.68</f>
        <v>3.2339324618736384E-3</v>
      </c>
      <c r="D23" s="193">
        <f>fc_repos+(z_travail*0.68)</f>
        <v>148.4</v>
      </c>
      <c r="E23" s="190"/>
      <c r="F23" s="191"/>
    </row>
    <row r="24" spans="2:8" ht="18" customHeight="1" x14ac:dyDescent="0.2">
      <c r="B24" s="175" t="s">
        <v>139</v>
      </c>
      <c r="C24" s="184">
        <f>cat_test_3/K_test/0.86</f>
        <v>2.557062876830319E-3</v>
      </c>
      <c r="D24" s="193">
        <f>fc_repos+(z_travail*0.87)</f>
        <v>173.1</v>
      </c>
      <c r="E24" s="190"/>
      <c r="F24" s="191"/>
    </row>
    <row r="25" spans="2:8" ht="18" customHeight="1" x14ac:dyDescent="0.2">
      <c r="B25" s="176" t="s">
        <v>140</v>
      </c>
      <c r="C25" s="80">
        <f>cat_test_3/K_test/0.86*20</f>
        <v>5.114125753660638E-2</v>
      </c>
      <c r="D25" s="194">
        <f>fc_repos+(z_travail*0.87)</f>
        <v>173.1</v>
      </c>
      <c r="E25" s="190"/>
      <c r="F25" s="191"/>
    </row>
    <row r="34" ht="19.5" customHeight="1" x14ac:dyDescent="0.2"/>
  </sheetData>
  <sheetProtection password="F7AF" sheet="1" objects="1" scenarios="1"/>
  <mergeCells count="8">
    <mergeCell ref="B2:I2"/>
    <mergeCell ref="B17:C17"/>
    <mergeCell ref="B16:C16"/>
    <mergeCell ref="B6:F6"/>
    <mergeCell ref="B8:C8"/>
    <mergeCell ref="E8:F8"/>
    <mergeCell ref="D9:D15"/>
    <mergeCell ref="E11:F11"/>
  </mergeCells>
  <phoneticPr fontId="0" type="noConversion"/>
  <dataValidations count="1">
    <dataValidation type="list" allowBlank="1" showInputMessage="1" showErrorMessage="1" sqref="C9">
      <formula1>$AS$1:$AS$2</formula1>
    </dataValidation>
  </dataValidations>
  <printOptions horizontalCentered="1" verticalCentered="1"/>
  <pageMargins left="0.2" right="0.27" top="0.36" bottom="0.78740157480314965" header="0.24" footer="0.51181102362204722"/>
  <pageSetup paperSize="9" firstPageNumber="0" orientation="landscape" horizontalDpi="300" verticalDpi="300" r:id="rId1"/>
  <headerFooter alignWithMargins="0"/>
  <ignoredErrors>
    <ignoredError sqref="D23" formula="1"/>
  </ignoredErrors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0"/>
  </sheetPr>
  <dimension ref="B1:T36"/>
  <sheetViews>
    <sheetView showGridLines="0" zoomScaleNormal="100" workbookViewId="0">
      <selection activeCell="C9" sqref="C9"/>
    </sheetView>
  </sheetViews>
  <sheetFormatPr baseColWidth="10" defaultRowHeight="33.950000000000003" customHeight="1" x14ac:dyDescent="0.2"/>
  <cols>
    <col min="2" max="2" width="6.7109375" customWidth="1"/>
    <col min="3" max="3" width="17.42578125" style="14" customWidth="1"/>
    <col min="4" max="4" width="7.7109375" customWidth="1"/>
    <col min="5" max="5" width="4.28515625" style="15" customWidth="1"/>
    <col min="6" max="6" width="6.7109375" customWidth="1"/>
    <col min="7" max="7" width="17" style="14" customWidth="1"/>
    <col min="8" max="8" width="7.7109375" customWidth="1"/>
    <col min="9" max="9" width="4.28515625" style="15" customWidth="1"/>
    <col min="10" max="10" width="6.7109375" customWidth="1"/>
    <col min="11" max="11" width="17.42578125" style="14" customWidth="1"/>
    <col min="12" max="12" width="7.7109375" customWidth="1"/>
    <col min="13" max="13" width="4.28515625" style="15" customWidth="1"/>
    <col min="14" max="14" width="6.7109375" customWidth="1"/>
    <col min="15" max="15" width="17.42578125" style="14" customWidth="1"/>
    <col min="16" max="16" width="7.7109375" customWidth="1"/>
    <col min="17" max="17" width="4.28515625" style="15" customWidth="1"/>
  </cols>
  <sheetData>
    <row r="1" spans="2:20" ht="16.5" customHeight="1" x14ac:dyDescent="0.2"/>
    <row r="2" spans="2:20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</row>
    <row r="3" spans="2:20" ht="29.25" customHeight="1" x14ac:dyDescent="0.2"/>
    <row r="4" spans="2:20" ht="21" customHeight="1" x14ac:dyDescent="0.2">
      <c r="B4" s="329" t="s">
        <v>18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20" s="35" customFormat="1" ht="7.5" customHeight="1" x14ac:dyDescent="0.2"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 spans="2:20" ht="33.950000000000003" customHeight="1" thickBot="1" x14ac:dyDescent="0.25">
      <c r="B6" s="91"/>
      <c r="C6" s="92" t="str">
        <f>"semaine du "&amp;TEXT(mdate-83,"jj/mm")&amp;" au "&amp;TEXT(mdate-77,"jj/mm")</f>
        <v>semaine du 19/09 au 25/09</v>
      </c>
      <c r="D6" s="92" t="s">
        <v>81</v>
      </c>
      <c r="E6" s="93" t="s">
        <v>14</v>
      </c>
      <c r="F6" s="94"/>
      <c r="G6" s="92" t="str">
        <f>"semaine du "&amp;TEXT(mdate-76,"jj/mm")&amp;" au "&amp;TEXT(mdate-70,"jj/mm")</f>
        <v>semaine du 26/09 au 02/10</v>
      </c>
      <c r="H6" s="95" t="s">
        <v>81</v>
      </c>
      <c r="I6" s="93" t="s">
        <v>14</v>
      </c>
      <c r="J6" s="94"/>
      <c r="K6" s="92" t="str">
        <f>"semaine du "&amp;TEXT(mdate-69,"jj/mm")&amp;" au "&amp;TEXT(mdate-63,"jj/mm")</f>
        <v>semaine du 03/10 au 09/10</v>
      </c>
      <c r="L6" s="92" t="s">
        <v>81</v>
      </c>
      <c r="M6" s="93" t="s">
        <v>14</v>
      </c>
      <c r="N6" s="9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  <c r="S6" s="25"/>
      <c r="T6" s="25"/>
    </row>
    <row r="7" spans="2:20" ht="33.950000000000003" customHeight="1" x14ac:dyDescent="0.2">
      <c r="B7" s="97" t="s">
        <v>105</v>
      </c>
      <c r="C7" s="161" t="s">
        <v>15</v>
      </c>
      <c r="D7" s="154"/>
      <c r="E7" s="158"/>
      <c r="F7" s="98" t="s">
        <v>105</v>
      </c>
      <c r="G7" s="161" t="s">
        <v>15</v>
      </c>
      <c r="H7" s="154"/>
      <c r="I7" s="158"/>
      <c r="J7" s="98" t="s">
        <v>105</v>
      </c>
      <c r="K7" s="161" t="s">
        <v>15</v>
      </c>
      <c r="L7" s="154"/>
      <c r="M7" s="158"/>
      <c r="N7" s="98" t="s">
        <v>105</v>
      </c>
      <c r="O7" s="161" t="s">
        <v>15</v>
      </c>
      <c r="P7" s="154"/>
      <c r="Q7" s="164"/>
    </row>
    <row r="8" spans="2:20" ht="33.950000000000003" customHeight="1" x14ac:dyDescent="0.2">
      <c r="B8" s="99" t="s">
        <v>104</v>
      </c>
      <c r="C8" s="163" t="s">
        <v>4</v>
      </c>
      <c r="D8" s="155">
        <f>cat_test_3/K_test/0.78</f>
        <v>2.8193257359924026E-3</v>
      </c>
      <c r="E8" s="159">
        <f>fc_repos+(z_travail*0.76)</f>
        <v>158.80000000000001</v>
      </c>
      <c r="F8" s="101" t="s">
        <v>104</v>
      </c>
      <c r="G8" s="163" t="s">
        <v>4</v>
      </c>
      <c r="H8" s="155">
        <f>cat_test_3/K_test/78%</f>
        <v>2.8193257359924026E-3</v>
      </c>
      <c r="I8" s="159">
        <f>fc_repos+(z_travail*0.76)</f>
        <v>158.80000000000001</v>
      </c>
      <c r="J8" s="101" t="s">
        <v>104</v>
      </c>
      <c r="K8" s="163" t="s">
        <v>171</v>
      </c>
      <c r="L8" s="155">
        <f>cat_test_3/K_test/78%</f>
        <v>2.8193257359924026E-3</v>
      </c>
      <c r="M8" s="159">
        <f>fc_repos+(z_travail*0.76)</f>
        <v>158.80000000000001</v>
      </c>
      <c r="N8" s="101" t="s">
        <v>104</v>
      </c>
      <c r="O8" s="163" t="s">
        <v>4</v>
      </c>
      <c r="P8" s="155">
        <f>cat_test_3/K_test/78%</f>
        <v>2.8193257359924026E-3</v>
      </c>
      <c r="Q8" s="165">
        <f>fc_repos+(z_travail*0.76)</f>
        <v>158.80000000000001</v>
      </c>
    </row>
    <row r="9" spans="2:20" ht="40.5" customHeight="1" x14ac:dyDescent="0.2">
      <c r="B9" s="99" t="s">
        <v>99</v>
      </c>
      <c r="C9" s="102" t="s">
        <v>152</v>
      </c>
      <c r="D9" s="155" t="str">
        <f>al_marathon</f>
        <v>00:03:39</v>
      </c>
      <c r="E9" s="159">
        <f>fc_competition</f>
        <v>174.09684612934055</v>
      </c>
      <c r="F9" s="101" t="s">
        <v>99</v>
      </c>
      <c r="G9" s="103" t="s">
        <v>160</v>
      </c>
      <c r="H9" s="157">
        <f>cat_vitesse*30</f>
        <v>157.89473684210526</v>
      </c>
      <c r="I9" s="159">
        <f>fc_repos+(z_travail*0.9)</f>
        <v>177</v>
      </c>
      <c r="J9" s="101" t="s">
        <v>99</v>
      </c>
      <c r="K9" s="104" t="s">
        <v>238</v>
      </c>
      <c r="L9" s="155">
        <f>cat_test_3/K_test/114%/1000*300</f>
        <v>5.7870370370370389E-4</v>
      </c>
      <c r="M9" s="159">
        <f>fc_repos+(z_travail*0.92)</f>
        <v>179.60000000000002</v>
      </c>
      <c r="N9" s="101" t="s">
        <v>99</v>
      </c>
      <c r="O9" s="103" t="s">
        <v>159</v>
      </c>
      <c r="P9" s="157">
        <f>cat_vitesse*50</f>
        <v>263.15789473684214</v>
      </c>
      <c r="Q9" s="165">
        <f>fc_repos+(z_travail*0.9)</f>
        <v>177</v>
      </c>
      <c r="S9" s="88"/>
    </row>
    <row r="10" spans="2:20" ht="33.950000000000003" customHeight="1" x14ac:dyDescent="0.2">
      <c r="B10" s="99" t="s">
        <v>103</v>
      </c>
      <c r="C10" s="163" t="s">
        <v>80</v>
      </c>
      <c r="D10" s="155">
        <f>cat_test_3/K_test/78%</f>
        <v>2.8193257359924026E-3</v>
      </c>
      <c r="E10" s="159">
        <f>fc_repos+(z_travail*0.76)</f>
        <v>158.80000000000001</v>
      </c>
      <c r="F10" s="101" t="s">
        <v>103</v>
      </c>
      <c r="G10" s="163" t="s">
        <v>129</v>
      </c>
      <c r="H10" s="155">
        <f>cat_test_3/K_test/78%</f>
        <v>2.8193257359924026E-3</v>
      </c>
      <c r="I10" s="159">
        <f>fc_repos+(z_travail*0.76)</f>
        <v>158.80000000000001</v>
      </c>
      <c r="J10" s="101" t="s">
        <v>103</v>
      </c>
      <c r="K10" s="163" t="s">
        <v>4</v>
      </c>
      <c r="L10" s="155">
        <f>cat_test_3/K_test/78%</f>
        <v>2.8193257359924026E-3</v>
      </c>
      <c r="M10" s="159">
        <f>fc_repos+(z_travail*0.76)</f>
        <v>158.80000000000001</v>
      </c>
      <c r="N10" s="101" t="s">
        <v>103</v>
      </c>
      <c r="O10" s="163" t="s">
        <v>4</v>
      </c>
      <c r="P10" s="155">
        <f>cat_test_3/K_test/78%</f>
        <v>2.8193257359924026E-3</v>
      </c>
      <c r="Q10" s="165">
        <f>fc_repos+(z_travail*0.76)</f>
        <v>158.80000000000001</v>
      </c>
    </row>
    <row r="11" spans="2:20" ht="33.950000000000003" customHeight="1" x14ac:dyDescent="0.2">
      <c r="B11" s="99" t="s">
        <v>100</v>
      </c>
      <c r="C11" s="162" t="s">
        <v>15</v>
      </c>
      <c r="D11" s="155"/>
      <c r="E11" s="159"/>
      <c r="F11" s="101" t="s">
        <v>100</v>
      </c>
      <c r="G11" s="162" t="s">
        <v>15</v>
      </c>
      <c r="H11" s="155"/>
      <c r="I11" s="159"/>
      <c r="J11" s="101" t="s">
        <v>100</v>
      </c>
      <c r="K11" s="162" t="s">
        <v>15</v>
      </c>
      <c r="L11" s="155"/>
      <c r="M11" s="159"/>
      <c r="N11" s="101" t="s">
        <v>100</v>
      </c>
      <c r="O11" s="162" t="s">
        <v>15</v>
      </c>
      <c r="P11" s="155"/>
      <c r="Q11" s="165"/>
    </row>
    <row r="12" spans="2:20" ht="41.25" customHeight="1" x14ac:dyDescent="0.2">
      <c r="B12" s="99" t="s">
        <v>101</v>
      </c>
      <c r="C12" s="104" t="s">
        <v>239</v>
      </c>
      <c r="D12" s="155">
        <f>cat_test_3/K_test/117%/1000*200</f>
        <v>3.7591009813232044E-4</v>
      </c>
      <c r="E12" s="159">
        <f>fc_repos+(z_travail*0.93)</f>
        <v>180.9</v>
      </c>
      <c r="F12" s="101" t="s">
        <v>101</v>
      </c>
      <c r="G12" s="108" t="s">
        <v>177</v>
      </c>
      <c r="H12" s="155" t="str">
        <f>al_marathon</f>
        <v>00:03:39</v>
      </c>
      <c r="I12" s="159">
        <f>fc_competition</f>
        <v>174.09684612934055</v>
      </c>
      <c r="J12" s="101" t="s">
        <v>101</v>
      </c>
      <c r="K12" s="108" t="s">
        <v>176</v>
      </c>
      <c r="L12" s="155" t="str">
        <f>al_marathon</f>
        <v>00:03:39</v>
      </c>
      <c r="M12" s="159">
        <f>fc_competition</f>
        <v>174.09684612934055</v>
      </c>
      <c r="N12" s="101" t="s">
        <v>101</v>
      </c>
      <c r="O12" s="108" t="s">
        <v>151</v>
      </c>
      <c r="P12" s="155" t="str">
        <f>al_marathon</f>
        <v>00:03:39</v>
      </c>
      <c r="Q12" s="165">
        <f>fc_competition</f>
        <v>174.09684612934055</v>
      </c>
    </row>
    <row r="13" spans="2:20" ht="33.950000000000003" customHeight="1" x14ac:dyDescent="0.2">
      <c r="B13" s="105" t="s">
        <v>102</v>
      </c>
      <c r="C13" s="106" t="s">
        <v>240</v>
      </c>
      <c r="D13" s="156">
        <f>cat_test_3/K_test/68%</f>
        <v>3.2339324618736384E-3</v>
      </c>
      <c r="E13" s="160">
        <f>fc_repos+(z_travail*0.68)</f>
        <v>148.4</v>
      </c>
      <c r="F13" s="107" t="s">
        <v>102</v>
      </c>
      <c r="G13" s="106" t="s">
        <v>241</v>
      </c>
      <c r="H13" s="156">
        <f>cat_test_3/K_test/68%</f>
        <v>3.2339324618736384E-3</v>
      </c>
      <c r="I13" s="160">
        <f>fc_repos+(z_travail*0.68)</f>
        <v>148.4</v>
      </c>
      <c r="J13" s="107" t="s">
        <v>102</v>
      </c>
      <c r="K13" s="106" t="s">
        <v>242</v>
      </c>
      <c r="L13" s="156">
        <f>cat_test_3/K_test/68%</f>
        <v>3.2339324618736384E-3</v>
      </c>
      <c r="M13" s="160">
        <f>fc_repos+(z_travail*0.68)</f>
        <v>148.4</v>
      </c>
      <c r="N13" s="107" t="s">
        <v>102</v>
      </c>
      <c r="O13" s="106" t="s">
        <v>243</v>
      </c>
      <c r="P13" s="156">
        <f>cat_test_3/K_test/68%</f>
        <v>3.2339324618736384E-3</v>
      </c>
      <c r="Q13" s="166">
        <f>fc_repos+(z_travail*0.68)</f>
        <v>148.4</v>
      </c>
    </row>
    <row r="14" spans="2:20" ht="18.75" customHeight="1" x14ac:dyDescent="0.2"/>
    <row r="15" spans="2:20" ht="23.25" customHeight="1" x14ac:dyDescent="0.2">
      <c r="B15" s="330" t="s">
        <v>19</v>
      </c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</row>
    <row r="16" spans="2:20" s="35" customFormat="1" ht="7.5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7" ht="33.950000000000003" customHeight="1" thickBot="1" x14ac:dyDescent="0.25">
      <c r="B17" s="109"/>
      <c r="C17" s="110" t="str">
        <f>"semaine du "&amp;TEXT(mdate-55,"jj/mm")&amp;" au "&amp;TEXT(mdate-49,"jj/mm")</f>
        <v>semaine du 17/10 au 23/10</v>
      </c>
      <c r="D17" s="112"/>
      <c r="E17" s="111"/>
      <c r="F17" s="94"/>
      <c r="G17" s="110" t="str">
        <f>"semaine du "&amp;TEXT(mdate-48,"jj/mm")&amp;" au "&amp;TEXT(mdate-42,"jj/mm")</f>
        <v>semaine du 24/10 au 30/10</v>
      </c>
      <c r="H17" s="112"/>
      <c r="I17" s="111"/>
      <c r="J17" s="94"/>
      <c r="K17" s="110" t="str">
        <f>"semaine du "&amp;TEXT(mdate-41,"jj/mm")&amp;" au "&amp;TEXT(mdate-35,"jj/mm")</f>
        <v>semaine du 31/10 au 06/11</v>
      </c>
      <c r="L17" s="113"/>
      <c r="M17" s="111"/>
      <c r="N17" s="94"/>
      <c r="O17" s="110" t="str">
        <f>"semaine du "&amp;TEXT(mdate-34,"jj/mm")&amp;" au "&amp;TEXT(mdate-28,"jj/mm")</f>
        <v>semaine du 07/11 au 13/11</v>
      </c>
      <c r="P17" s="115"/>
      <c r="Q17" s="114"/>
    </row>
    <row r="18" spans="2:17" ht="33.950000000000003" customHeight="1" x14ac:dyDescent="0.2">
      <c r="B18" s="97" t="s">
        <v>105</v>
      </c>
      <c r="C18" s="161" t="s">
        <v>15</v>
      </c>
      <c r="D18" s="154"/>
      <c r="E18" s="158"/>
      <c r="F18" s="98" t="s">
        <v>105</v>
      </c>
      <c r="G18" s="161" t="s">
        <v>15</v>
      </c>
      <c r="H18" s="154"/>
      <c r="I18" s="158"/>
      <c r="J18" s="98" t="s">
        <v>105</v>
      </c>
      <c r="K18" s="161" t="s">
        <v>15</v>
      </c>
      <c r="L18" s="154"/>
      <c r="M18" s="158"/>
      <c r="N18" s="98" t="s">
        <v>105</v>
      </c>
      <c r="O18" s="161" t="s">
        <v>15</v>
      </c>
      <c r="P18" s="154"/>
      <c r="Q18" s="164"/>
    </row>
    <row r="19" spans="2:17" ht="33.950000000000003" customHeight="1" x14ac:dyDescent="0.2">
      <c r="B19" s="99" t="s">
        <v>104</v>
      </c>
      <c r="C19" s="163" t="s">
        <v>171</v>
      </c>
      <c r="D19" s="155">
        <f>cat_test_3/K_test/78%</f>
        <v>2.8193257359924026E-3</v>
      </c>
      <c r="E19" s="159">
        <f>fc_repos+(z_travail*0.76)</f>
        <v>158.80000000000001</v>
      </c>
      <c r="F19" s="101" t="s">
        <v>104</v>
      </c>
      <c r="G19" s="163" t="s">
        <v>171</v>
      </c>
      <c r="H19" s="155">
        <f>cat_test_3/K_test/78%</f>
        <v>2.8193257359924026E-3</v>
      </c>
      <c r="I19" s="159">
        <f>fc_repos+(z_travail*0.76)</f>
        <v>158.80000000000001</v>
      </c>
      <c r="J19" s="101" t="s">
        <v>104</v>
      </c>
      <c r="K19" s="104" t="s">
        <v>162</v>
      </c>
      <c r="L19" s="155">
        <f>cat_test_3/K_test/99%/1000*900</f>
        <v>1.9991582491582492E-3</v>
      </c>
      <c r="M19" s="159">
        <f>fc_repos+(z_travail*0.89)</f>
        <v>175.7</v>
      </c>
      <c r="N19" s="101" t="s">
        <v>104</v>
      </c>
      <c r="O19" s="163" t="s">
        <v>171</v>
      </c>
      <c r="P19" s="155">
        <f>cat_test_3/K_test/78%</f>
        <v>2.8193257359924026E-3</v>
      </c>
      <c r="Q19" s="165">
        <f>fc_repos+(z_travail*0.76)</f>
        <v>158.80000000000001</v>
      </c>
    </row>
    <row r="20" spans="2:17" ht="39.75" customHeight="1" x14ac:dyDescent="0.2">
      <c r="B20" s="99" t="s">
        <v>99</v>
      </c>
      <c r="C20" s="108" t="s">
        <v>149</v>
      </c>
      <c r="D20" s="155" t="str">
        <f>al_marathon</f>
        <v>00:03:39</v>
      </c>
      <c r="E20" s="159">
        <f>fc_competition</f>
        <v>174.09684612934055</v>
      </c>
      <c r="F20" s="101" t="s">
        <v>99</v>
      </c>
      <c r="G20" s="103" t="s">
        <v>158</v>
      </c>
      <c r="H20" s="157">
        <f>cat_vitesse*95%*80</f>
        <v>400</v>
      </c>
      <c r="I20" s="159">
        <f>fc_repos+(z_travail*0.88)</f>
        <v>174.4</v>
      </c>
      <c r="J20" s="101" t="s">
        <v>99</v>
      </c>
      <c r="K20" s="100" t="s">
        <v>4</v>
      </c>
      <c r="L20" s="155">
        <f>cat_test_3/K_test/78%</f>
        <v>2.8193257359924026E-3</v>
      </c>
      <c r="M20" s="159">
        <f>fc_repos+(z_travail*0.76)</f>
        <v>158.80000000000001</v>
      </c>
      <c r="N20" s="101" t="s">
        <v>99</v>
      </c>
      <c r="O20" s="103" t="s">
        <v>157</v>
      </c>
      <c r="P20" s="157">
        <f>cat_vitesse*40</f>
        <v>210.5263157894737</v>
      </c>
      <c r="Q20" s="165">
        <f>fc_repos+(z_travail*0.9)</f>
        <v>177</v>
      </c>
    </row>
    <row r="21" spans="2:17" ht="33.950000000000003" customHeight="1" x14ac:dyDescent="0.2">
      <c r="B21" s="99" t="s">
        <v>103</v>
      </c>
      <c r="C21" s="163" t="s">
        <v>4</v>
      </c>
      <c r="D21" s="155">
        <f>cat_test_3/K_test/78%</f>
        <v>2.8193257359924026E-3</v>
      </c>
      <c r="E21" s="159">
        <f>fc_repos+(z_travail*0.76)</f>
        <v>158.80000000000001</v>
      </c>
      <c r="F21" s="101" t="s">
        <v>103</v>
      </c>
      <c r="G21" s="163" t="s">
        <v>4</v>
      </c>
      <c r="H21" s="155">
        <f>cat_test_3/K_test/78%</f>
        <v>2.8193257359924026E-3</v>
      </c>
      <c r="I21" s="159">
        <f>fc_repos+(z_travail*0.76)</f>
        <v>158.80000000000001</v>
      </c>
      <c r="J21" s="101" t="s">
        <v>103</v>
      </c>
      <c r="K21" s="116" t="s">
        <v>247</v>
      </c>
      <c r="L21" s="155">
        <f>cat_test_3/K_test/68%</f>
        <v>3.2339324618736384E-3</v>
      </c>
      <c r="M21" s="159">
        <f>fc_repos+(z_travail*0.68)</f>
        <v>148.4</v>
      </c>
      <c r="N21" s="101" t="s">
        <v>103</v>
      </c>
      <c r="O21" s="163" t="s">
        <v>4</v>
      </c>
      <c r="P21" s="155">
        <f>cat_test_3/K_test/78%</f>
        <v>2.8193257359924026E-3</v>
      </c>
      <c r="Q21" s="165">
        <f>fc_repos+(z_travail*0.76)</f>
        <v>158.80000000000001</v>
      </c>
    </row>
    <row r="22" spans="2:17" ht="33.950000000000003" customHeight="1" x14ac:dyDescent="0.2">
      <c r="B22" s="99" t="s">
        <v>100</v>
      </c>
      <c r="C22" s="162" t="s">
        <v>15</v>
      </c>
      <c r="D22" s="155"/>
      <c r="E22" s="159"/>
      <c r="F22" s="101" t="s">
        <v>100</v>
      </c>
      <c r="G22" s="162" t="s">
        <v>15</v>
      </c>
      <c r="H22" s="155"/>
      <c r="I22" s="159"/>
      <c r="J22" s="101" t="s">
        <v>100</v>
      </c>
      <c r="K22" s="162" t="s">
        <v>15</v>
      </c>
      <c r="L22" s="155"/>
      <c r="M22" s="159"/>
      <c r="N22" s="101" t="s">
        <v>100</v>
      </c>
      <c r="O22" s="162" t="s">
        <v>15</v>
      </c>
      <c r="P22" s="155"/>
      <c r="Q22" s="165"/>
    </row>
    <row r="23" spans="2:17" ht="43.5" customHeight="1" x14ac:dyDescent="0.2">
      <c r="B23" s="99" t="s">
        <v>101</v>
      </c>
      <c r="C23" s="108" t="s">
        <v>150</v>
      </c>
      <c r="D23" s="155" t="str">
        <f>al_marathon</f>
        <v>00:03:39</v>
      </c>
      <c r="E23" s="159">
        <f>fc_competition</f>
        <v>174.09684612934055</v>
      </c>
      <c r="F23" s="101" t="s">
        <v>101</v>
      </c>
      <c r="G23" s="108" t="s">
        <v>125</v>
      </c>
      <c r="H23" s="155" t="str">
        <f>al_marathon</f>
        <v>00:03:39</v>
      </c>
      <c r="I23" s="159">
        <f>fc_competition</f>
        <v>174.09684612934055</v>
      </c>
      <c r="J23" s="101" t="s">
        <v>101</v>
      </c>
      <c r="K23" s="120" t="s">
        <v>165</v>
      </c>
      <c r="L23" s="155">
        <f>cat_test_3/K_test/68%</f>
        <v>3.2339324618736384E-3</v>
      </c>
      <c r="M23" s="159">
        <f>fc_repos+(z_travail*0.68)</f>
        <v>148.4</v>
      </c>
      <c r="N23" s="101" t="s">
        <v>101</v>
      </c>
      <c r="O23" s="108" t="s">
        <v>147</v>
      </c>
      <c r="P23" s="155" t="str">
        <f>al_marathon</f>
        <v>00:03:39</v>
      </c>
      <c r="Q23" s="165">
        <f>fc_competition</f>
        <v>174.09684612934055</v>
      </c>
    </row>
    <row r="24" spans="2:17" ht="33.950000000000003" customHeight="1" x14ac:dyDescent="0.2">
      <c r="B24" s="105" t="s">
        <v>102</v>
      </c>
      <c r="C24" s="106" t="s">
        <v>244</v>
      </c>
      <c r="D24" s="156">
        <f>cat_test_3/K_test/68%</f>
        <v>3.2339324618736384E-3</v>
      </c>
      <c r="E24" s="160">
        <f>fc_repos+(z_travail*0.68)</f>
        <v>148.4</v>
      </c>
      <c r="F24" s="107" t="s">
        <v>102</v>
      </c>
      <c r="G24" s="106" t="s">
        <v>245</v>
      </c>
      <c r="H24" s="156">
        <f>cat_test_3/K_test/68%</f>
        <v>3.2339324618736384E-3</v>
      </c>
      <c r="I24" s="160">
        <f>fc_repos+(z_travail*0.68)</f>
        <v>148.4</v>
      </c>
      <c r="J24" s="107" t="s">
        <v>102</v>
      </c>
      <c r="K24" s="117" t="s">
        <v>166</v>
      </c>
      <c r="L24" s="118">
        <f>vma_obj_km*10/0.885</f>
        <v>2.4979075120318054E-2</v>
      </c>
      <c r="M24" s="119">
        <f>fc_competition</f>
        <v>174.09684612934055</v>
      </c>
      <c r="N24" s="107" t="s">
        <v>102</v>
      </c>
      <c r="O24" s="106" t="s">
        <v>246</v>
      </c>
      <c r="P24" s="156">
        <f>cat_test_3/K_test/68%</f>
        <v>3.2339324618736384E-3</v>
      </c>
      <c r="Q24" s="166">
        <f>fc_repos+(z_travail*0.68)</f>
        <v>148.4</v>
      </c>
    </row>
    <row r="25" spans="2:17" ht="16.5" customHeight="1" x14ac:dyDescent="0.2">
      <c r="E25" s="37"/>
      <c r="M25" s="37"/>
    </row>
    <row r="26" spans="2:17" ht="22.5" customHeight="1" x14ac:dyDescent="0.2">
      <c r="B26" s="329" t="s">
        <v>106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7" spans="2:17" s="35" customFormat="1" ht="8.2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7" ht="33.950000000000003" customHeight="1" thickBot="1" x14ac:dyDescent="0.25">
      <c r="B28" s="121"/>
      <c r="C28" s="110" t="str">
        <f>"semaine du "&amp;TEXT(mdate-27,"jj/mm")&amp;" au "&amp;TEXT(mdate-21,"jj/mm")</f>
        <v>semaine du 14/11 au 20/11</v>
      </c>
      <c r="D28" s="112"/>
      <c r="E28" s="111"/>
      <c r="F28" s="122"/>
      <c r="G28" s="110" t="str">
        <f>"semaine du "&amp;TEXT(mdate-20,"jj/mm")&amp;" au "&amp;TEXT(mdate-14,"jj/mm")</f>
        <v>semaine du 21/11 au 27/11</v>
      </c>
      <c r="H28" s="112"/>
      <c r="I28" s="111"/>
      <c r="J28" s="122"/>
      <c r="K28" s="110" t="str">
        <f>"semaine du "&amp;TEXT(mdate-13,"jj/mm")&amp;" au "&amp;TEXT(mdate-7,"jj/mm")</f>
        <v>semaine du 28/11 au 04/12</v>
      </c>
      <c r="L28" s="123"/>
      <c r="M28" s="111"/>
      <c r="N28" s="122"/>
      <c r="O28" s="110" t="str">
        <f>"semaine du "&amp;TEXT(mdate-6,"jj/mm")&amp;" au "&amp;TEXT(mdate,"jj/mm")</f>
        <v>semaine du 05/12 au 11/12</v>
      </c>
      <c r="P28" s="113"/>
      <c r="Q28" s="124"/>
    </row>
    <row r="29" spans="2:17" ht="33.950000000000003" customHeight="1" x14ac:dyDescent="0.2">
      <c r="B29" s="97" t="s">
        <v>105</v>
      </c>
      <c r="C29" s="161" t="s">
        <v>15</v>
      </c>
      <c r="D29" s="154"/>
      <c r="E29" s="158"/>
      <c r="F29" s="98" t="s">
        <v>105</v>
      </c>
      <c r="G29" s="161" t="s">
        <v>15</v>
      </c>
      <c r="H29" s="154"/>
      <c r="I29" s="158"/>
      <c r="J29" s="98" t="s">
        <v>105</v>
      </c>
      <c r="K29" s="161" t="s">
        <v>15</v>
      </c>
      <c r="L29" s="247"/>
      <c r="M29" s="158"/>
      <c r="N29" s="98" t="s">
        <v>105</v>
      </c>
      <c r="O29" s="161" t="s">
        <v>15</v>
      </c>
      <c r="P29" s="154"/>
      <c r="Q29" s="164"/>
    </row>
    <row r="30" spans="2:17" ht="33.950000000000003" customHeight="1" x14ac:dyDescent="0.2">
      <c r="B30" s="99" t="s">
        <v>104</v>
      </c>
      <c r="C30" s="116" t="s">
        <v>215</v>
      </c>
      <c r="D30" s="155">
        <f>cat_test_3/K_test/68%</f>
        <v>3.2339324618736384E-3</v>
      </c>
      <c r="E30" s="159">
        <f>fc_repos+(z_travail*0.68)</f>
        <v>148.4</v>
      </c>
      <c r="F30" s="101" t="s">
        <v>104</v>
      </c>
      <c r="G30" s="163" t="s">
        <v>172</v>
      </c>
      <c r="H30" s="155">
        <f>cat_test_3/K_test/78%</f>
        <v>2.8193257359924026E-3</v>
      </c>
      <c r="I30" s="159">
        <f>fc_repos+(z_travail*0.76)</f>
        <v>158.80000000000001</v>
      </c>
      <c r="J30" s="101" t="s">
        <v>104</v>
      </c>
      <c r="K30" s="108" t="s">
        <v>131</v>
      </c>
      <c r="L30" s="245" t="str">
        <f>al_marathon</f>
        <v>00:03:39</v>
      </c>
      <c r="M30" s="159">
        <f>fc_competition</f>
        <v>174.09684612934055</v>
      </c>
      <c r="N30" s="101" t="s">
        <v>104</v>
      </c>
      <c r="O30" s="116" t="s">
        <v>251</v>
      </c>
      <c r="P30" s="155">
        <f>cat_test_3/K_test/68%</f>
        <v>3.2339324618736384E-3</v>
      </c>
      <c r="Q30" s="165">
        <f>fc_repos+(z_travail*0.68)</f>
        <v>148.4</v>
      </c>
    </row>
    <row r="31" spans="2:17" ht="42.75" customHeight="1" x14ac:dyDescent="0.2">
      <c r="B31" s="99" t="s">
        <v>99</v>
      </c>
      <c r="C31" s="108" t="s">
        <v>134</v>
      </c>
      <c r="D31" s="155" t="str">
        <f>al_marathon</f>
        <v>00:03:39</v>
      </c>
      <c r="E31" s="159">
        <f>fc_competition</f>
        <v>174.09684612934055</v>
      </c>
      <c r="F31" s="101" t="s">
        <v>99</v>
      </c>
      <c r="G31" s="104" t="s">
        <v>161</v>
      </c>
      <c r="H31" s="155">
        <f>cat_test_3/K_test/98%/1000*1200</f>
        <v>2.6927437641723361E-3</v>
      </c>
      <c r="I31" s="159">
        <f>fc_repos+(z_travail*0.88)</f>
        <v>174.4</v>
      </c>
      <c r="J31" s="101" t="s">
        <v>99</v>
      </c>
      <c r="K31" s="103" t="s">
        <v>120</v>
      </c>
      <c r="L31" s="248">
        <f>cat_vitesse*95%*60</f>
        <v>300</v>
      </c>
      <c r="M31" s="159">
        <f>fc_repos+(z_travail*0.88)</f>
        <v>174.4</v>
      </c>
      <c r="N31" s="101" t="s">
        <v>99</v>
      </c>
      <c r="O31" s="104" t="s">
        <v>130</v>
      </c>
      <c r="P31" s="155">
        <f>cat_test_3/K_test/105%/1000*400</f>
        <v>8.3774250440917116E-4</v>
      </c>
      <c r="Q31" s="165">
        <f>fc_repos+(z_travail*0.92)</f>
        <v>179.60000000000002</v>
      </c>
    </row>
    <row r="32" spans="2:17" ht="33.950000000000003" customHeight="1" x14ac:dyDescent="0.2">
      <c r="B32" s="99" t="s">
        <v>103</v>
      </c>
      <c r="C32" s="163" t="s">
        <v>4</v>
      </c>
      <c r="D32" s="155">
        <f>cat_test_3/K_test/78%</f>
        <v>2.8193257359924026E-3</v>
      </c>
      <c r="E32" s="159">
        <f>fc_repos+(z_travail*0.76)</f>
        <v>158.80000000000001</v>
      </c>
      <c r="F32" s="101" t="s">
        <v>103</v>
      </c>
      <c r="G32" s="163" t="s">
        <v>4</v>
      </c>
      <c r="H32" s="155">
        <f>cat_test_3/K_test/78%</f>
        <v>2.8193257359924026E-3</v>
      </c>
      <c r="I32" s="159">
        <f>fc_repos+(z_travail*0.76)</f>
        <v>158.80000000000001</v>
      </c>
      <c r="J32" s="101" t="s">
        <v>103</v>
      </c>
      <c r="K32" s="163" t="s">
        <v>4</v>
      </c>
      <c r="L32" s="245">
        <f>cat_test_3/K_test/78%</f>
        <v>2.8193257359924026E-3</v>
      </c>
      <c r="M32" s="159">
        <f>fc_repos+(z_travail*0.76)</f>
        <v>158.80000000000001</v>
      </c>
      <c r="N32" s="101" t="s">
        <v>103</v>
      </c>
      <c r="O32" s="116" t="s">
        <v>250</v>
      </c>
      <c r="P32" s="155">
        <f>cat_test_3/K_test/68%</f>
        <v>3.2339324618736384E-3</v>
      </c>
      <c r="Q32" s="165">
        <f>fc_repos+(z_travail*0.68)</f>
        <v>148.4</v>
      </c>
    </row>
    <row r="33" spans="2:17" ht="33.950000000000003" customHeight="1" x14ac:dyDescent="0.2">
      <c r="B33" s="99" t="s">
        <v>100</v>
      </c>
      <c r="C33" s="162" t="s">
        <v>15</v>
      </c>
      <c r="D33" s="155"/>
      <c r="E33" s="159"/>
      <c r="F33" s="101" t="s">
        <v>100</v>
      </c>
      <c r="G33" s="162" t="s">
        <v>15</v>
      </c>
      <c r="H33" s="155"/>
      <c r="I33" s="159"/>
      <c r="J33" s="101" t="s">
        <v>100</v>
      </c>
      <c r="K33" s="162" t="s">
        <v>15</v>
      </c>
      <c r="L33" s="245"/>
      <c r="M33" s="159"/>
      <c r="N33" s="101" t="s">
        <v>100</v>
      </c>
      <c r="O33" s="162" t="s">
        <v>15</v>
      </c>
      <c r="P33" s="155"/>
      <c r="Q33" s="165"/>
    </row>
    <row r="34" spans="2:17" ht="39.75" customHeight="1" x14ac:dyDescent="0.2">
      <c r="B34" s="99" t="s">
        <v>101</v>
      </c>
      <c r="C34" s="120" t="s">
        <v>165</v>
      </c>
      <c r="D34" s="155">
        <f>cat_test_3/K_test/68%</f>
        <v>3.2339324618736384E-3</v>
      </c>
      <c r="E34" s="159">
        <f>fc_repos+(z_travail*0.68)</f>
        <v>148.4</v>
      </c>
      <c r="F34" s="101" t="s">
        <v>101</v>
      </c>
      <c r="G34" s="108" t="s">
        <v>132</v>
      </c>
      <c r="H34" s="155" t="str">
        <f>al_marathon</f>
        <v>00:03:39</v>
      </c>
      <c r="I34" s="159">
        <f>fc_competition</f>
        <v>174.09684612934055</v>
      </c>
      <c r="J34" s="101" t="s">
        <v>101</v>
      </c>
      <c r="K34" s="108" t="s">
        <v>135</v>
      </c>
      <c r="L34" s="245" t="str">
        <f>al_marathon</f>
        <v>00:03:39</v>
      </c>
      <c r="M34" s="159">
        <f>fc_competition</f>
        <v>174.09684612934055</v>
      </c>
      <c r="N34" s="101" t="s">
        <v>101</v>
      </c>
      <c r="O34" s="120" t="s">
        <v>165</v>
      </c>
      <c r="P34" s="155">
        <f>cat_test_3/K_test/68%</f>
        <v>3.2339324618736384E-3</v>
      </c>
      <c r="Q34" s="165">
        <f>fc_repos+(z_travail*0.68)</f>
        <v>148.4</v>
      </c>
    </row>
    <row r="35" spans="2:17" ht="33.950000000000003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19">
        <f>fc_competition</f>
        <v>174.09684612934055</v>
      </c>
      <c r="F35" s="107" t="s">
        <v>102</v>
      </c>
      <c r="G35" s="106" t="s">
        <v>248</v>
      </c>
      <c r="H35" s="156">
        <f>cat_test_3/K_test/68%</f>
        <v>3.2339324618736384E-3</v>
      </c>
      <c r="I35" s="160">
        <f>fc_repos+(z_travail*0.68)</f>
        <v>148.4</v>
      </c>
      <c r="J35" s="107" t="s">
        <v>102</v>
      </c>
      <c r="K35" s="125" t="s">
        <v>249</v>
      </c>
      <c r="L35" s="249">
        <f>cat_test_3/K_test/68%</f>
        <v>3.2339324618736384E-3</v>
      </c>
      <c r="M35" s="160">
        <f>fc_repos+(z_travail*0.68)</f>
        <v>148.4</v>
      </c>
      <c r="N35" s="107" t="s">
        <v>102</v>
      </c>
      <c r="O35" s="126" t="s">
        <v>136</v>
      </c>
      <c r="P35" s="127">
        <f>objectif</f>
        <v>5.0694444444444452E-2</v>
      </c>
      <c r="Q35" s="128">
        <f>fc_competition</f>
        <v>174.09684612934055</v>
      </c>
    </row>
    <row r="36" spans="2:17" ht="33.950000000000003" customHeight="1" x14ac:dyDescent="0.2">
      <c r="M36" s="37"/>
    </row>
  </sheetData>
  <sheetProtection password="F7AF" sheet="1" objects="1" scenarios="1"/>
  <mergeCells count="4">
    <mergeCell ref="B2:O2"/>
    <mergeCell ref="B4:Q4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ignoredErrors>
    <ignoredError sqref="E9 H31:I31 P9:Q9 P31:Q31 L9:M9 H9:I9 H20:I20 P20:Q20 D20:E20" formula="1"/>
  </ignoredErrors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2"/>
  </sheetPr>
  <dimension ref="B1:R36"/>
  <sheetViews>
    <sheetView showGridLines="0" zoomScaleNormal="100" workbookViewId="0">
      <selection activeCell="G24" sqref="G24"/>
    </sheetView>
  </sheetViews>
  <sheetFormatPr baseColWidth="10" defaultRowHeight="33.950000000000003" customHeight="1" x14ac:dyDescent="0.2"/>
  <cols>
    <col min="2" max="2" width="6.7109375" customWidth="1"/>
    <col min="3" max="3" width="17.7109375" style="14" customWidth="1"/>
    <col min="4" max="4" width="7.7109375" customWidth="1"/>
    <col min="5" max="5" width="4.28515625" style="15" customWidth="1"/>
    <col min="6" max="6" width="6.7109375" customWidth="1"/>
    <col min="7" max="7" width="16.42578125" style="14" customWidth="1"/>
    <col min="8" max="8" width="7.7109375" customWidth="1"/>
    <col min="9" max="9" width="4.28515625" style="15" customWidth="1"/>
    <col min="10" max="10" width="6.7109375" customWidth="1"/>
    <col min="11" max="11" width="17.5703125" style="14" customWidth="1"/>
    <col min="12" max="12" width="7.7109375" customWidth="1"/>
    <col min="13" max="13" width="4.28515625" style="15" customWidth="1"/>
    <col min="14" max="14" width="6.7109375" customWidth="1"/>
    <col min="15" max="15" width="16.42578125" style="14" customWidth="1"/>
    <col min="16" max="16" width="7.7109375" customWidth="1"/>
    <col min="17" max="17" width="4.28515625" style="15" customWidth="1"/>
  </cols>
  <sheetData>
    <row r="1" spans="2:17" ht="16.5" customHeight="1" x14ac:dyDescent="0.2"/>
    <row r="2" spans="2:17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</row>
    <row r="3" spans="2:17" ht="29.25" customHeight="1" x14ac:dyDescent="0.2"/>
    <row r="4" spans="2:17" ht="24" customHeight="1" x14ac:dyDescent="0.2">
      <c r="B4" s="329" t="s">
        <v>18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7" s="35" customFormat="1" ht="7.5" customHeight="1" x14ac:dyDescent="0.2"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</row>
    <row r="6" spans="2:17" ht="33.950000000000003" customHeight="1" thickBot="1" x14ac:dyDescent="0.25">
      <c r="B6" s="134"/>
      <c r="C6" s="92" t="str">
        <f>"semaine du "&amp;TEXT(mdate-83,"jj/mm")&amp;" au "&amp;TEXT(mdate-77,"jj/mm")</f>
        <v>semaine du 19/09 au 25/09</v>
      </c>
      <c r="D6" s="92" t="s">
        <v>81</v>
      </c>
      <c r="E6" s="135" t="s">
        <v>14</v>
      </c>
      <c r="F6" s="134"/>
      <c r="G6" s="92" t="str">
        <f>"semaine du "&amp;TEXT(mdate-76,"jj/mm")&amp;" au "&amp;TEXT(mdate-70,"jj/mm")</f>
        <v>semaine du 26/09 au 02/10</v>
      </c>
      <c r="H6" s="95" t="s">
        <v>81</v>
      </c>
      <c r="I6" s="135" t="s">
        <v>14</v>
      </c>
      <c r="J6" s="134"/>
      <c r="K6" s="92" t="str">
        <f>"semaine du "&amp;TEXT(mdate-69,"jj/mm")&amp;" au "&amp;TEXT(mdate-63,"jj/mm")</f>
        <v>semaine du 03/10 au 09/10</v>
      </c>
      <c r="L6" s="92" t="s">
        <v>81</v>
      </c>
      <c r="M6" s="135" t="s">
        <v>14</v>
      </c>
      <c r="N6" s="13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</row>
    <row r="7" spans="2:17" ht="33.950000000000003" customHeight="1" x14ac:dyDescent="0.2">
      <c r="B7" s="129" t="s">
        <v>105</v>
      </c>
      <c r="C7" s="238" t="s">
        <v>15</v>
      </c>
      <c r="D7" s="170"/>
      <c r="E7" s="239"/>
      <c r="F7" s="129" t="s">
        <v>105</v>
      </c>
      <c r="G7" s="238" t="s">
        <v>15</v>
      </c>
      <c r="H7" s="170"/>
      <c r="I7" s="239"/>
      <c r="J7" s="129" t="s">
        <v>105</v>
      </c>
      <c r="K7" s="238" t="s">
        <v>15</v>
      </c>
      <c r="L7" s="170"/>
      <c r="M7" s="239"/>
      <c r="N7" s="129" t="s">
        <v>105</v>
      </c>
      <c r="O7" s="238" t="s">
        <v>15</v>
      </c>
      <c r="P7" s="170"/>
      <c r="Q7" s="243"/>
    </row>
    <row r="8" spans="2:17" ht="39.75" customHeight="1" x14ac:dyDescent="0.2">
      <c r="B8" s="129" t="s">
        <v>104</v>
      </c>
      <c r="C8" s="242" t="s">
        <v>123</v>
      </c>
      <c r="D8" s="170">
        <f>cat_test_3/K_test/78%</f>
        <v>2.8193257359924026E-3</v>
      </c>
      <c r="E8" s="239">
        <f>fc_repos+(z_travail*0.76)</f>
        <v>158.80000000000001</v>
      </c>
      <c r="F8" s="129" t="s">
        <v>104</v>
      </c>
      <c r="G8" s="133" t="s">
        <v>160</v>
      </c>
      <c r="H8" s="240">
        <f>cat_vitesse*30</f>
        <v>157.89473684210526</v>
      </c>
      <c r="I8" s="239">
        <f>fc_repos+(z_travail*0.9)</f>
        <v>177</v>
      </c>
      <c r="J8" s="129" t="s">
        <v>104</v>
      </c>
      <c r="K8" s="130" t="s">
        <v>164</v>
      </c>
      <c r="L8" s="170">
        <f>cat_test_3/K_test/114%/1000*300</f>
        <v>5.7870370370370389E-4</v>
      </c>
      <c r="M8" s="239">
        <f>fc_repos+(z_travail*0.92)</f>
        <v>179.60000000000002</v>
      </c>
      <c r="N8" s="129" t="s">
        <v>104</v>
      </c>
      <c r="O8" s="133" t="s">
        <v>159</v>
      </c>
      <c r="P8" s="240">
        <f>cat_vitesse*50</f>
        <v>263.15789473684214</v>
      </c>
      <c r="Q8" s="243">
        <f>fc_repos+(z_travail*0.9)</f>
        <v>177</v>
      </c>
    </row>
    <row r="9" spans="2:17" ht="33.950000000000003" customHeight="1" x14ac:dyDescent="0.2">
      <c r="B9" s="129" t="s">
        <v>99</v>
      </c>
      <c r="C9" s="238" t="s">
        <v>15</v>
      </c>
      <c r="D9" s="240"/>
      <c r="E9" s="239"/>
      <c r="F9" s="129" t="s">
        <v>99</v>
      </c>
      <c r="G9" s="238" t="s">
        <v>15</v>
      </c>
      <c r="H9" s="170"/>
      <c r="I9" s="239"/>
      <c r="J9" s="129" t="s">
        <v>99</v>
      </c>
      <c r="K9" s="238" t="s">
        <v>15</v>
      </c>
      <c r="L9" s="240"/>
      <c r="M9" s="239"/>
      <c r="N9" s="129" t="s">
        <v>99</v>
      </c>
      <c r="O9" s="238" t="s">
        <v>15</v>
      </c>
      <c r="P9" s="170"/>
      <c r="Q9" s="243"/>
    </row>
    <row r="10" spans="2:17" ht="33.950000000000003" customHeight="1" x14ac:dyDescent="0.2">
      <c r="B10" s="129" t="s">
        <v>103</v>
      </c>
      <c r="C10" s="242" t="s">
        <v>4</v>
      </c>
      <c r="D10" s="170">
        <f>cat_test_3/K_test/78%</f>
        <v>2.8193257359924026E-3</v>
      </c>
      <c r="E10" s="239">
        <f>fc_repos+(z_travail*0.76)</f>
        <v>158.80000000000001</v>
      </c>
      <c r="F10" s="129" t="s">
        <v>103</v>
      </c>
      <c r="G10" s="242" t="s">
        <v>4</v>
      </c>
      <c r="H10" s="170">
        <f>cat_test_3/K_test/78%</f>
        <v>2.8193257359924026E-3</v>
      </c>
      <c r="I10" s="239">
        <f>fc_repos+(z_travail*0.76)</f>
        <v>158.80000000000001</v>
      </c>
      <c r="J10" s="129" t="s">
        <v>103</v>
      </c>
      <c r="K10" s="242" t="s">
        <v>4</v>
      </c>
      <c r="L10" s="170">
        <f>cat_test_3/K_test/78%</f>
        <v>2.8193257359924026E-3</v>
      </c>
      <c r="M10" s="239">
        <f>fc_repos+(z_travail*0.76)</f>
        <v>158.80000000000001</v>
      </c>
      <c r="N10" s="129" t="s">
        <v>103</v>
      </c>
      <c r="O10" s="242" t="s">
        <v>171</v>
      </c>
      <c r="P10" s="170">
        <f>cat_test_3/K_test/78%</f>
        <v>2.8193257359924026E-3</v>
      </c>
      <c r="Q10" s="243">
        <f>fc_repos+(z_travail*0.76)</f>
        <v>158.80000000000001</v>
      </c>
    </row>
    <row r="11" spans="2:17" ht="33.950000000000003" customHeight="1" x14ac:dyDescent="0.2">
      <c r="B11" s="129" t="s">
        <v>100</v>
      </c>
      <c r="C11" s="238" t="s">
        <v>15</v>
      </c>
      <c r="D11" s="170"/>
      <c r="E11" s="239"/>
      <c r="F11" s="129" t="s">
        <v>100</v>
      </c>
      <c r="G11" s="238" t="s">
        <v>15</v>
      </c>
      <c r="H11" s="170"/>
      <c r="I11" s="239"/>
      <c r="J11" s="129" t="s">
        <v>100</v>
      </c>
      <c r="K11" s="238" t="s">
        <v>15</v>
      </c>
      <c r="L11" s="170"/>
      <c r="M11" s="239"/>
      <c r="N11" s="129" t="s">
        <v>100</v>
      </c>
      <c r="O11" s="238" t="s">
        <v>15</v>
      </c>
      <c r="P11" s="170"/>
      <c r="Q11" s="243"/>
    </row>
    <row r="12" spans="2:17" ht="42.75" customHeight="1" x14ac:dyDescent="0.2">
      <c r="B12" s="129" t="s">
        <v>101</v>
      </c>
      <c r="C12" s="130" t="s">
        <v>163</v>
      </c>
      <c r="D12" s="170">
        <f>cat_test_3/K_test/117%/1000*200</f>
        <v>3.7591009813232044E-4</v>
      </c>
      <c r="E12" s="239">
        <f>fc_repos+(z_travail*0.93)</f>
        <v>180.9</v>
      </c>
      <c r="F12" s="129" t="s">
        <v>101</v>
      </c>
      <c r="G12" s="131" t="s">
        <v>177</v>
      </c>
      <c r="H12" s="170" t="str">
        <f>al_marathon</f>
        <v>00:03:39</v>
      </c>
      <c r="I12" s="239">
        <f>fc_competition</f>
        <v>174.09684612934055</v>
      </c>
      <c r="J12" s="129" t="s">
        <v>101</v>
      </c>
      <c r="K12" s="131" t="s">
        <v>220</v>
      </c>
      <c r="L12" s="170" t="str">
        <f>al_marathon</f>
        <v>00:03:39</v>
      </c>
      <c r="M12" s="239">
        <f>fc_competition</f>
        <v>174.09684612934055</v>
      </c>
      <c r="N12" s="129" t="s">
        <v>101</v>
      </c>
      <c r="O12" s="131" t="s">
        <v>151</v>
      </c>
      <c r="P12" s="170" t="str">
        <f>al_marathon</f>
        <v>00:03:39</v>
      </c>
      <c r="Q12" s="243">
        <f>fc_competition</f>
        <v>174.09684612934055</v>
      </c>
    </row>
    <row r="13" spans="2:17" ht="33.950000000000003" customHeight="1" x14ac:dyDescent="0.2">
      <c r="B13" s="105" t="s">
        <v>102</v>
      </c>
      <c r="C13" s="106" t="s">
        <v>216</v>
      </c>
      <c r="D13" s="156">
        <f>cat_test_3/K_test/68%</f>
        <v>3.2339324618736384E-3</v>
      </c>
      <c r="E13" s="241">
        <f>fc_repos+(z_travail*0.68)</f>
        <v>148.4</v>
      </c>
      <c r="F13" s="105" t="s">
        <v>102</v>
      </c>
      <c r="G13" s="106" t="s">
        <v>156</v>
      </c>
      <c r="H13" s="156">
        <f>cat_test_3/K_test/68%</f>
        <v>3.2339324618736384E-3</v>
      </c>
      <c r="I13" s="241">
        <f>fc_repos+(z_travail*0.68)</f>
        <v>148.4</v>
      </c>
      <c r="J13" s="105" t="s">
        <v>102</v>
      </c>
      <c r="K13" s="106" t="s">
        <v>217</v>
      </c>
      <c r="L13" s="156">
        <f>cat_test_3/K_test/68%</f>
        <v>3.2339324618736384E-3</v>
      </c>
      <c r="M13" s="241">
        <f>fc_repos+(z_travail*0.68)</f>
        <v>148.4</v>
      </c>
      <c r="N13" s="105" t="s">
        <v>102</v>
      </c>
      <c r="O13" s="106" t="s">
        <v>155</v>
      </c>
      <c r="P13" s="156">
        <f>cat_test_3/K_test/68%</f>
        <v>3.2339324618736384E-3</v>
      </c>
      <c r="Q13" s="166">
        <f>fc_repos+(z_travail*0.68)</f>
        <v>148.4</v>
      </c>
    </row>
    <row r="14" spans="2:17" ht="23.25" customHeight="1" x14ac:dyDescent="0.2">
      <c r="E14" s="37"/>
      <c r="M14" s="37"/>
      <c r="Q14" s="37"/>
    </row>
    <row r="15" spans="2:17" ht="24.75" customHeight="1" x14ac:dyDescent="0.2">
      <c r="B15" s="329" t="s">
        <v>19</v>
      </c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29"/>
      <c r="N15" s="329"/>
      <c r="O15" s="329"/>
      <c r="P15" s="329"/>
      <c r="Q15" s="329"/>
    </row>
    <row r="16" spans="2:17" s="35" customFormat="1" ht="6.75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8" ht="33.950000000000003" customHeight="1" thickBot="1" x14ac:dyDescent="0.25">
      <c r="B17" s="136"/>
      <c r="C17" s="92" t="str">
        <f>"semaine du "&amp;TEXT(mdate-55,"jj/mm")&amp;" au "&amp;TEXT(mdate-49,"jj/mm")</f>
        <v>semaine du 17/10 au 23/10</v>
      </c>
      <c r="D17" s="95"/>
      <c r="E17" s="135"/>
      <c r="F17" s="134"/>
      <c r="G17" s="92" t="str">
        <f>"semaine du "&amp;TEXT(mdate-48,"jj/mm")&amp;" au "&amp;TEXT(mdate-42,"jj/mm")</f>
        <v>semaine du 24/10 au 30/10</v>
      </c>
      <c r="H17" s="95"/>
      <c r="I17" s="135"/>
      <c r="J17" s="134"/>
      <c r="K17" s="92" t="str">
        <f>"semaine du "&amp;TEXT(mdate-41,"jj/mm")&amp;" au "&amp;TEXT(mdate-35,"jj/mm")</f>
        <v>semaine du 31/10 au 06/11</v>
      </c>
      <c r="L17" s="137"/>
      <c r="M17" s="135"/>
      <c r="N17" s="134"/>
      <c r="O17" s="92" t="str">
        <f>"semaine du "&amp;TEXT(mdate-34,"jj/mm")&amp;" au "&amp;TEXT(mdate-28,"jj/mm")</f>
        <v>semaine du 07/11 au 13/11</v>
      </c>
      <c r="P17" s="138"/>
      <c r="Q17" s="139"/>
    </row>
    <row r="18" spans="2:18" ht="33.950000000000003" customHeight="1" x14ac:dyDescent="0.2">
      <c r="B18" s="129" t="s">
        <v>105</v>
      </c>
      <c r="C18" s="238" t="s">
        <v>15</v>
      </c>
      <c r="D18" s="170"/>
      <c r="E18" s="239"/>
      <c r="F18" s="129" t="s">
        <v>105</v>
      </c>
      <c r="G18" s="238" t="s">
        <v>15</v>
      </c>
      <c r="H18" s="170"/>
      <c r="I18" s="239"/>
      <c r="J18" s="129" t="s">
        <v>105</v>
      </c>
      <c r="K18" s="238" t="s">
        <v>15</v>
      </c>
      <c r="L18" s="170"/>
      <c r="M18" s="239"/>
      <c r="N18" s="129" t="s">
        <v>105</v>
      </c>
      <c r="O18" s="238" t="s">
        <v>15</v>
      </c>
      <c r="P18" s="170"/>
      <c r="Q18" s="243"/>
    </row>
    <row r="19" spans="2:18" ht="39.75" customHeight="1" x14ac:dyDescent="0.2">
      <c r="B19" s="129" t="s">
        <v>104</v>
      </c>
      <c r="C19" s="133" t="s">
        <v>158</v>
      </c>
      <c r="D19" s="240">
        <f>cat_vitesse*95%*80</f>
        <v>400</v>
      </c>
      <c r="E19" s="239">
        <f>fc_repos+(z_travail*0.88)</f>
        <v>174.4</v>
      </c>
      <c r="F19" s="129" t="s">
        <v>104</v>
      </c>
      <c r="G19" s="130" t="s">
        <v>162</v>
      </c>
      <c r="H19" s="170">
        <f>cat_test_3/K_test/99%/1000*900</f>
        <v>1.9991582491582492E-3</v>
      </c>
      <c r="I19" s="239">
        <f>fc_repos+(z_travail*0.89)</f>
        <v>175.7</v>
      </c>
      <c r="J19" s="129" t="s">
        <v>104</v>
      </c>
      <c r="K19" s="131" t="s">
        <v>149</v>
      </c>
      <c r="L19" s="170" t="str">
        <f>al_marathon</f>
        <v>00:03:39</v>
      </c>
      <c r="M19" s="239">
        <f>fc_competition</f>
        <v>174.09684612934055</v>
      </c>
      <c r="N19" s="129" t="s">
        <v>104</v>
      </c>
      <c r="O19" s="133" t="s">
        <v>157</v>
      </c>
      <c r="P19" s="240">
        <f>cat_vitesse*40</f>
        <v>210.5263157894737</v>
      </c>
      <c r="Q19" s="236">
        <f>fc_repos+(z_travail*0.9)</f>
        <v>177</v>
      </c>
    </row>
    <row r="20" spans="2:18" ht="33.950000000000003" customHeight="1" x14ac:dyDescent="0.2">
      <c r="B20" s="129" t="s">
        <v>99</v>
      </c>
      <c r="C20" s="238" t="s">
        <v>15</v>
      </c>
      <c r="D20" s="240"/>
      <c r="E20" s="239"/>
      <c r="F20" s="129" t="s">
        <v>99</v>
      </c>
      <c r="G20" s="238" t="s">
        <v>15</v>
      </c>
      <c r="H20" s="170"/>
      <c r="I20" s="239"/>
      <c r="J20" s="129" t="s">
        <v>99</v>
      </c>
      <c r="K20" s="238" t="s">
        <v>15</v>
      </c>
      <c r="L20" s="240"/>
      <c r="M20" s="239"/>
      <c r="N20" s="129" t="s">
        <v>99</v>
      </c>
      <c r="O20" s="238" t="s">
        <v>15</v>
      </c>
      <c r="P20" s="170"/>
      <c r="Q20" s="237"/>
    </row>
    <row r="21" spans="2:18" ht="33.950000000000003" customHeight="1" x14ac:dyDescent="0.2">
      <c r="B21" s="129" t="s">
        <v>103</v>
      </c>
      <c r="C21" s="242" t="s">
        <v>171</v>
      </c>
      <c r="D21" s="170">
        <f>cat_test_3/K_test/78%</f>
        <v>2.8193257359924026E-3</v>
      </c>
      <c r="E21" s="239">
        <f>fc_repos+(z_travail*0.76)</f>
        <v>158.80000000000001</v>
      </c>
      <c r="F21" s="129" t="s">
        <v>103</v>
      </c>
      <c r="G21" s="242" t="s">
        <v>4</v>
      </c>
      <c r="H21" s="170">
        <f>cat_test_3/K_test/78%</f>
        <v>2.8193257359924026E-3</v>
      </c>
      <c r="I21" s="239">
        <f>fc_repos+(z_travail*0.76)</f>
        <v>158.80000000000001</v>
      </c>
      <c r="J21" s="129" t="s">
        <v>103</v>
      </c>
      <c r="K21" s="242" t="s">
        <v>174</v>
      </c>
      <c r="L21" s="170">
        <f>cat_test_3/K_test/68%</f>
        <v>3.2339324618736384E-3</v>
      </c>
      <c r="M21" s="239">
        <f>fc_repos+(z_travail*0.68)</f>
        <v>148.4</v>
      </c>
      <c r="N21" s="129" t="s">
        <v>103</v>
      </c>
      <c r="O21" s="242" t="s">
        <v>171</v>
      </c>
      <c r="P21" s="170">
        <f>cat_test_3/K_test/78%</f>
        <v>2.8193257359924026E-3</v>
      </c>
      <c r="Q21" s="243">
        <f>fc_repos+(z_travail*0.76)</f>
        <v>158.80000000000001</v>
      </c>
    </row>
    <row r="22" spans="2:18" ht="33.950000000000003" customHeight="1" x14ac:dyDescent="0.2">
      <c r="B22" s="129" t="s">
        <v>100</v>
      </c>
      <c r="C22" s="238" t="s">
        <v>15</v>
      </c>
      <c r="D22" s="170"/>
      <c r="E22" s="239"/>
      <c r="F22" s="129" t="s">
        <v>100</v>
      </c>
      <c r="G22" s="238" t="s">
        <v>15</v>
      </c>
      <c r="H22" s="170"/>
      <c r="I22" s="239"/>
      <c r="J22" s="129" t="s">
        <v>100</v>
      </c>
      <c r="K22" s="238" t="s">
        <v>15</v>
      </c>
      <c r="L22" s="170"/>
      <c r="M22" s="239"/>
      <c r="N22" s="129" t="s">
        <v>100</v>
      </c>
      <c r="O22" s="238" t="s">
        <v>15</v>
      </c>
      <c r="P22" s="170"/>
      <c r="Q22" s="236"/>
    </row>
    <row r="23" spans="2:18" ht="39.75" customHeight="1" x14ac:dyDescent="0.2">
      <c r="B23" s="129" t="s">
        <v>101</v>
      </c>
      <c r="C23" s="131" t="s">
        <v>221</v>
      </c>
      <c r="D23" s="170" t="str">
        <f>al_marathon</f>
        <v>00:03:39</v>
      </c>
      <c r="E23" s="239">
        <f>fc_competition</f>
        <v>174.09684612934055</v>
      </c>
      <c r="F23" s="129" t="s">
        <v>101</v>
      </c>
      <c r="G23" s="131" t="s">
        <v>125</v>
      </c>
      <c r="H23" s="170" t="str">
        <f>al_marathon</f>
        <v>00:03:39</v>
      </c>
      <c r="I23" s="239">
        <f>fc_competition</f>
        <v>174.09684612934055</v>
      </c>
      <c r="J23" s="129" t="s">
        <v>101</v>
      </c>
      <c r="K23" s="132" t="s">
        <v>165</v>
      </c>
      <c r="L23" s="170">
        <f>cat_test_3/K_test/68%</f>
        <v>3.2339324618736384E-3</v>
      </c>
      <c r="M23" s="239">
        <f>fc_repos+(z_travail*0.68)</f>
        <v>148.4</v>
      </c>
      <c r="N23" s="129" t="s">
        <v>101</v>
      </c>
      <c r="O23" s="131" t="s">
        <v>147</v>
      </c>
      <c r="P23" s="170" t="str">
        <f>al_marathon</f>
        <v>00:03:39</v>
      </c>
      <c r="Q23" s="237">
        <f>fc_competition</f>
        <v>174.09684612934055</v>
      </c>
    </row>
    <row r="24" spans="2:18" ht="33.950000000000003" customHeight="1" x14ac:dyDescent="0.2">
      <c r="B24" s="105" t="s">
        <v>102</v>
      </c>
      <c r="C24" s="106" t="s">
        <v>218</v>
      </c>
      <c r="D24" s="156">
        <f>cat_test_3/K_test/68%</f>
        <v>3.2339324618736384E-3</v>
      </c>
      <c r="E24" s="241">
        <f>fc_repos+(z_travail*0.68)</f>
        <v>148.4</v>
      </c>
      <c r="F24" s="105" t="s">
        <v>102</v>
      </c>
      <c r="G24" s="106" t="s">
        <v>154</v>
      </c>
      <c r="H24" s="156">
        <f>cat_test_3/K_test/68%</f>
        <v>3.2339324618736384E-3</v>
      </c>
      <c r="I24" s="241">
        <f>fc_repos+(z_travail*0.68)</f>
        <v>148.4</v>
      </c>
      <c r="J24" s="105" t="s">
        <v>102</v>
      </c>
      <c r="K24" s="117" t="s">
        <v>166</v>
      </c>
      <c r="L24" s="118">
        <f>al_marathon*10</f>
        <v>2.5347222222222222E-2</v>
      </c>
      <c r="M24" s="140">
        <f>fc_competition</f>
        <v>174.09684612934055</v>
      </c>
      <c r="N24" s="105" t="s">
        <v>102</v>
      </c>
      <c r="O24" s="106" t="s">
        <v>153</v>
      </c>
      <c r="P24" s="156">
        <f>cat_test_3/K_test/68%</f>
        <v>3.2339324618736384E-3</v>
      </c>
      <c r="Q24" s="166">
        <f>fc_repos+(z_travail*0.68)</f>
        <v>148.4</v>
      </c>
    </row>
    <row r="25" spans="2:18" ht="22.5" customHeight="1" x14ac:dyDescent="0.2">
      <c r="B25" s="17"/>
      <c r="C25" s="17"/>
      <c r="D25" s="18"/>
      <c r="E25" s="19"/>
      <c r="F25" s="17"/>
      <c r="G25" s="17"/>
      <c r="H25" s="20"/>
      <c r="I25" s="19"/>
      <c r="J25" s="17"/>
      <c r="K25" s="21"/>
      <c r="L25" s="20"/>
      <c r="M25" s="19"/>
      <c r="N25" s="17"/>
      <c r="Q25" s="37"/>
    </row>
    <row r="26" spans="2:18" ht="25.5" customHeight="1" x14ac:dyDescent="0.2">
      <c r="B26" s="329" t="s">
        <v>106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7" spans="2:18" s="35" customFormat="1" ht="6.7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8" ht="33.950000000000003" customHeight="1" thickBot="1" x14ac:dyDescent="0.25">
      <c r="B28" s="134"/>
      <c r="C28" s="92" t="str">
        <f>"semaine du "&amp;TEXT(mdate-27,"jj/mm")&amp;" au "&amp;TEXT(mdate-21,"jj/mm")</f>
        <v>semaine du 14/11 au 20/11</v>
      </c>
      <c r="D28" s="95"/>
      <c r="E28" s="135"/>
      <c r="F28" s="134"/>
      <c r="G28" s="92" t="str">
        <f>"semaine du "&amp;TEXT(mdate-20,"jj/mm")&amp;" au "&amp;TEXT(mdate-14,"jj/mm")</f>
        <v>semaine du 21/11 au 27/11</v>
      </c>
      <c r="H28" s="95"/>
      <c r="I28" s="135"/>
      <c r="J28" s="134"/>
      <c r="K28" s="92" t="str">
        <f>"semaine du "&amp;TEXT(mdate-13,"jj/mm")&amp;" au "&amp;TEXT(mdate-7,"jj/mm")</f>
        <v>semaine du 28/11 au 04/12</v>
      </c>
      <c r="L28" s="137"/>
      <c r="M28" s="135"/>
      <c r="N28" s="134"/>
      <c r="O28" s="92" t="str">
        <f>"semaine du "&amp;TEXT(mdate-6,"jj/mm")&amp;" au "&amp;TEXT(mdate,"jj/mm")</f>
        <v>semaine du 05/12 au 11/12</v>
      </c>
      <c r="P28" s="137"/>
      <c r="Q28" s="96"/>
    </row>
    <row r="29" spans="2:18" ht="33.950000000000003" customHeight="1" x14ac:dyDescent="0.2">
      <c r="B29" s="129" t="s">
        <v>105</v>
      </c>
      <c r="C29" s="244" t="s">
        <v>15</v>
      </c>
      <c r="D29" s="170"/>
      <c r="E29" s="239"/>
      <c r="F29" s="129" t="s">
        <v>105</v>
      </c>
      <c r="G29" s="238" t="s">
        <v>15</v>
      </c>
      <c r="H29" s="170"/>
      <c r="I29" s="239"/>
      <c r="J29" s="129" t="s">
        <v>105</v>
      </c>
      <c r="K29" s="238" t="s">
        <v>15</v>
      </c>
      <c r="L29" s="170"/>
      <c r="M29" s="239"/>
      <c r="N29" s="129" t="s">
        <v>105</v>
      </c>
      <c r="O29" s="238" t="s">
        <v>15</v>
      </c>
      <c r="P29" s="170"/>
      <c r="Q29" s="243"/>
    </row>
    <row r="30" spans="2:18" ht="39.75" customHeight="1" x14ac:dyDescent="0.2">
      <c r="B30" s="142" t="s">
        <v>104</v>
      </c>
      <c r="C30" s="141" t="s">
        <v>222</v>
      </c>
      <c r="D30" s="245" t="str">
        <f>al_marathon</f>
        <v>00:03:39</v>
      </c>
      <c r="E30" s="246">
        <f>fc_competition</f>
        <v>174.09684612934055</v>
      </c>
      <c r="F30" s="99" t="s">
        <v>104</v>
      </c>
      <c r="G30" s="104" t="s">
        <v>161</v>
      </c>
      <c r="H30" s="155">
        <f>cat_test_3/K_test/98%/1000*1200</f>
        <v>2.6927437641723361E-3</v>
      </c>
      <c r="I30" s="246">
        <f>fc_repos+(z_travail*0.88)</f>
        <v>174.4</v>
      </c>
      <c r="J30" s="99" t="s">
        <v>104</v>
      </c>
      <c r="K30" s="103" t="s">
        <v>120</v>
      </c>
      <c r="L30" s="157">
        <f>cat_vitesse*95%*60</f>
        <v>300</v>
      </c>
      <c r="M30" s="246">
        <f>fc_repos+(z_travail*0.88)</f>
        <v>174.4</v>
      </c>
      <c r="N30" s="99" t="s">
        <v>104</v>
      </c>
      <c r="O30" s="104" t="s">
        <v>130</v>
      </c>
      <c r="P30" s="155">
        <f>cat_test_3/K_test/105%/1000*400</f>
        <v>8.3774250440917116E-4</v>
      </c>
      <c r="Q30" s="165">
        <f>fc_repos+(z_travail*0.92)</f>
        <v>179.60000000000002</v>
      </c>
      <c r="R30" s="35"/>
    </row>
    <row r="31" spans="2:18" ht="33.950000000000003" customHeight="1" x14ac:dyDescent="0.2">
      <c r="B31" s="99" t="s">
        <v>99</v>
      </c>
      <c r="C31" s="238" t="s">
        <v>15</v>
      </c>
      <c r="D31" s="155"/>
      <c r="E31" s="246"/>
      <c r="F31" s="99" t="s">
        <v>99</v>
      </c>
      <c r="G31" s="162" t="s">
        <v>15</v>
      </c>
      <c r="H31" s="155"/>
      <c r="I31" s="246"/>
      <c r="J31" s="99" t="s">
        <v>99</v>
      </c>
      <c r="K31" s="162" t="s">
        <v>15</v>
      </c>
      <c r="L31" s="155"/>
      <c r="M31" s="246"/>
      <c r="N31" s="99" t="s">
        <v>99</v>
      </c>
      <c r="O31" s="162" t="s">
        <v>15</v>
      </c>
      <c r="P31" s="155"/>
      <c r="Q31" s="165"/>
      <c r="R31" s="35"/>
    </row>
    <row r="32" spans="2:18" ht="33.950000000000003" customHeight="1" x14ac:dyDescent="0.2">
      <c r="B32" s="99" t="s">
        <v>103</v>
      </c>
      <c r="C32" s="163" t="s">
        <v>4</v>
      </c>
      <c r="D32" s="155">
        <f>cat_test_3/K_test/78%</f>
        <v>2.8193257359924026E-3</v>
      </c>
      <c r="E32" s="246">
        <f>fc_repos+(z_travail*0.76)</f>
        <v>158.80000000000001</v>
      </c>
      <c r="F32" s="99" t="s">
        <v>103</v>
      </c>
      <c r="G32" s="163" t="s">
        <v>172</v>
      </c>
      <c r="H32" s="155">
        <f>cat_test_3/K_test/78%</f>
        <v>2.8193257359924026E-3</v>
      </c>
      <c r="I32" s="246">
        <f>fc_repos+(z_travail*0.76)</f>
        <v>158.80000000000001</v>
      </c>
      <c r="J32" s="99" t="s">
        <v>103</v>
      </c>
      <c r="K32" s="163" t="s">
        <v>4</v>
      </c>
      <c r="L32" s="155">
        <f>cat_test_3/K_test/78%</f>
        <v>2.8193257359924026E-3</v>
      </c>
      <c r="M32" s="246">
        <f>fc_repos+(z_travail*0.76)</f>
        <v>158.80000000000001</v>
      </c>
      <c r="N32" s="99" t="s">
        <v>103</v>
      </c>
      <c r="O32" s="116" t="s">
        <v>173</v>
      </c>
      <c r="P32" s="155">
        <f>cat_test_3/K_test/68%</f>
        <v>3.2339324618736384E-3</v>
      </c>
      <c r="Q32" s="165">
        <f>fc_repos+(z_travail*0.68)</f>
        <v>148.4</v>
      </c>
      <c r="R32" s="35"/>
    </row>
    <row r="33" spans="2:18" ht="33.950000000000003" customHeight="1" x14ac:dyDescent="0.2">
      <c r="B33" s="99" t="s">
        <v>100</v>
      </c>
      <c r="C33" s="162" t="s">
        <v>15</v>
      </c>
      <c r="D33" s="155"/>
      <c r="E33" s="246"/>
      <c r="F33" s="99" t="s">
        <v>100</v>
      </c>
      <c r="G33" s="162" t="s">
        <v>15</v>
      </c>
      <c r="H33" s="155"/>
      <c r="I33" s="246"/>
      <c r="J33" s="99" t="s">
        <v>100</v>
      </c>
      <c r="K33" s="162" t="s">
        <v>15</v>
      </c>
      <c r="L33" s="155"/>
      <c r="M33" s="246"/>
      <c r="N33" s="99" t="s">
        <v>100</v>
      </c>
      <c r="O33" s="162" t="s">
        <v>15</v>
      </c>
      <c r="P33" s="155"/>
      <c r="Q33" s="165"/>
      <c r="R33" s="35"/>
    </row>
    <row r="34" spans="2:18" ht="39" customHeight="1" x14ac:dyDescent="0.2">
      <c r="B34" s="99" t="s">
        <v>101</v>
      </c>
      <c r="C34" s="120" t="s">
        <v>165</v>
      </c>
      <c r="D34" s="155">
        <f>cat_test_3/K_test/68%</f>
        <v>3.2339324618736384E-3</v>
      </c>
      <c r="E34" s="246">
        <f>fc_repos+(z_travail*0.68)</f>
        <v>148.4</v>
      </c>
      <c r="F34" s="99" t="s">
        <v>101</v>
      </c>
      <c r="G34" s="108" t="s">
        <v>132</v>
      </c>
      <c r="H34" s="155" t="str">
        <f>al_marathon</f>
        <v>00:03:39</v>
      </c>
      <c r="I34" s="246">
        <f>fc_competition</f>
        <v>174.09684612934055</v>
      </c>
      <c r="J34" s="99" t="s">
        <v>101</v>
      </c>
      <c r="K34" s="108" t="s">
        <v>135</v>
      </c>
      <c r="L34" s="155" t="str">
        <f>al_marathon</f>
        <v>00:03:39</v>
      </c>
      <c r="M34" s="246">
        <f>fc_competition</f>
        <v>174.09684612934055</v>
      </c>
      <c r="N34" s="99" t="s">
        <v>101</v>
      </c>
      <c r="O34" s="120" t="s">
        <v>124</v>
      </c>
      <c r="P34" s="155">
        <f>cat_test_3/K_test/68%</f>
        <v>3.2339324618736384E-3</v>
      </c>
      <c r="Q34" s="165">
        <f>fc_repos+(z_travail*0.68)</f>
        <v>148.4</v>
      </c>
      <c r="R34" s="35"/>
    </row>
    <row r="35" spans="2:18" ht="33.950000000000003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40">
        <f>fc_competition</f>
        <v>174.09684612934055</v>
      </c>
      <c r="F35" s="105" t="s">
        <v>102</v>
      </c>
      <c r="G35" s="106" t="s">
        <v>133</v>
      </c>
      <c r="H35" s="156">
        <f>cat_test_3/K_test/68%</f>
        <v>3.2339324618736384E-3</v>
      </c>
      <c r="I35" s="241">
        <f>fc_repos+(z_travail*0.68)</f>
        <v>148.4</v>
      </c>
      <c r="J35" s="105" t="s">
        <v>102</v>
      </c>
      <c r="K35" s="106" t="s">
        <v>219</v>
      </c>
      <c r="L35" s="156">
        <f>cat_test_3/K_test/68%</f>
        <v>3.2339324618736384E-3</v>
      </c>
      <c r="M35" s="241">
        <f>fc_repos+(z_travail*0.68)</f>
        <v>148.4</v>
      </c>
      <c r="N35" s="105" t="s">
        <v>102</v>
      </c>
      <c r="O35" s="126" t="s">
        <v>136</v>
      </c>
      <c r="P35" s="118">
        <f>objectif</f>
        <v>5.0694444444444452E-2</v>
      </c>
      <c r="Q35" s="128">
        <f>fc_competition</f>
        <v>174.09684612934055</v>
      </c>
      <c r="R35" s="35"/>
    </row>
    <row r="36" spans="2:18" ht="33.950000000000003" customHeight="1" x14ac:dyDescent="0.2">
      <c r="Q36" s="37"/>
      <c r="R36" s="35"/>
    </row>
  </sheetData>
  <sheetProtection password="F7AF" sheet="1" objects="1" scenarios="1"/>
  <mergeCells count="4">
    <mergeCell ref="B4:Q4"/>
    <mergeCell ref="B2:P2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7"/>
  </sheetPr>
  <dimension ref="B1:S35"/>
  <sheetViews>
    <sheetView showGridLines="0" zoomScaleNormal="100" workbookViewId="0">
      <selection activeCell="W6" sqref="W6"/>
    </sheetView>
  </sheetViews>
  <sheetFormatPr baseColWidth="10" defaultRowHeight="33.950000000000003" customHeight="1" x14ac:dyDescent="0.2"/>
  <cols>
    <col min="2" max="2" width="6.7109375" customWidth="1"/>
    <col min="3" max="3" width="17" style="14" customWidth="1"/>
    <col min="4" max="4" width="7.7109375" customWidth="1"/>
    <col min="5" max="5" width="4.42578125" style="15" customWidth="1"/>
    <col min="6" max="6" width="6.7109375" customWidth="1"/>
    <col min="7" max="7" width="16.42578125" style="14" customWidth="1"/>
    <col min="8" max="8" width="7.7109375" customWidth="1"/>
    <col min="9" max="9" width="4.42578125" style="15" customWidth="1"/>
    <col min="10" max="10" width="6.7109375" customWidth="1"/>
    <col min="11" max="11" width="16.42578125" style="14" customWidth="1"/>
    <col min="12" max="12" width="7.7109375" customWidth="1"/>
    <col min="13" max="13" width="4.42578125" style="15" customWidth="1"/>
    <col min="14" max="14" width="6.7109375" customWidth="1"/>
    <col min="15" max="15" width="16.42578125" style="14" customWidth="1"/>
    <col min="16" max="16" width="7.7109375" customWidth="1"/>
    <col min="17" max="17" width="4.42578125" style="15" customWidth="1"/>
  </cols>
  <sheetData>
    <row r="1" spans="2:19" ht="15.75" customHeight="1" x14ac:dyDescent="0.2"/>
    <row r="2" spans="2:19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</row>
    <row r="3" spans="2:19" s="143" customFormat="1" ht="36" customHeight="1" x14ac:dyDescent="0.5"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19" ht="22.5" customHeight="1" x14ac:dyDescent="0.2">
      <c r="B4" s="330" t="s">
        <v>18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</row>
    <row r="5" spans="2:19" s="35" customFormat="1" ht="6" customHeight="1" x14ac:dyDescent="0.2"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</row>
    <row r="6" spans="2:19" ht="33.950000000000003" customHeight="1" thickBot="1" x14ac:dyDescent="0.25">
      <c r="B6" s="134"/>
      <c r="C6" s="92" t="str">
        <f>"semaine du "&amp;TEXT(mdate-83,"jj/mm")&amp;" au "&amp;TEXT(mdate-77,"jj/mm")</f>
        <v>semaine du 19/09 au 25/09</v>
      </c>
      <c r="D6" s="92" t="s">
        <v>81</v>
      </c>
      <c r="E6" s="93" t="s">
        <v>14</v>
      </c>
      <c r="F6" s="94"/>
      <c r="G6" s="92" t="str">
        <f>"semaine du "&amp;TEXT(mdate-76,"jj/mm")&amp;" au "&amp;TEXT(mdate-70,"jj/mm")</f>
        <v>semaine du 26/09 au 02/10</v>
      </c>
      <c r="H6" s="95" t="s">
        <v>81</v>
      </c>
      <c r="I6" s="93" t="s">
        <v>14</v>
      </c>
      <c r="J6" s="94"/>
      <c r="K6" s="92" t="str">
        <f>"semaine du "&amp;TEXT(mdate-69,"jj/mm")&amp;" au "&amp;TEXT(mdate-63,"jj/mm")</f>
        <v>semaine du 03/10 au 09/10</v>
      </c>
      <c r="L6" s="92" t="s">
        <v>81</v>
      </c>
      <c r="M6" s="93" t="s">
        <v>14</v>
      </c>
      <c r="N6" s="94"/>
      <c r="O6" s="92" t="str">
        <f>"semaine du "&amp;TEXT(mdate-62,"jj/mm")&amp;" au "&amp;TEXT(mdate-56,"jj/mm")</f>
        <v>semaine du 10/10 au 16/10</v>
      </c>
      <c r="P6" s="92" t="s">
        <v>81</v>
      </c>
      <c r="Q6" s="96" t="s">
        <v>14</v>
      </c>
    </row>
    <row r="7" spans="2:19" ht="33.950000000000003" customHeight="1" x14ac:dyDescent="0.2">
      <c r="B7" s="97" t="s">
        <v>105</v>
      </c>
      <c r="C7" s="161" t="s">
        <v>15</v>
      </c>
      <c r="D7" s="154"/>
      <c r="E7" s="158"/>
      <c r="F7" s="167" t="s">
        <v>105</v>
      </c>
      <c r="G7" s="161" t="s">
        <v>15</v>
      </c>
      <c r="H7" s="154"/>
      <c r="I7" s="158"/>
      <c r="J7" s="167" t="s">
        <v>105</v>
      </c>
      <c r="K7" s="161" t="s">
        <v>15</v>
      </c>
      <c r="L7" s="154"/>
      <c r="M7" s="158"/>
      <c r="N7" s="167" t="s">
        <v>105</v>
      </c>
      <c r="O7" s="161" t="s">
        <v>15</v>
      </c>
      <c r="P7" s="154"/>
      <c r="Q7" s="164"/>
    </row>
    <row r="8" spans="2:19" ht="33.950000000000003" customHeight="1" x14ac:dyDescent="0.2">
      <c r="B8" s="99" t="s">
        <v>104</v>
      </c>
      <c r="C8" s="116" t="s">
        <v>191</v>
      </c>
      <c r="D8" s="155">
        <f>cat_test_3/K_test/68%</f>
        <v>3.2339324618736384E-3</v>
      </c>
      <c r="E8" s="159">
        <f>fc_repos+(z_travail*0.68)</f>
        <v>148.4</v>
      </c>
      <c r="F8" s="168" t="s">
        <v>104</v>
      </c>
      <c r="G8" s="103" t="s">
        <v>121</v>
      </c>
      <c r="H8" s="157">
        <f>cat_vitesse*30</f>
        <v>157.89473684210526</v>
      </c>
      <c r="I8" s="159">
        <f>fc_repos+(z_travail*0.9)</f>
        <v>177</v>
      </c>
      <c r="J8" s="168" t="s">
        <v>104</v>
      </c>
      <c r="K8" s="163" t="s">
        <v>123</v>
      </c>
      <c r="L8" s="155">
        <f>cat_test_3/K_test/78%</f>
        <v>2.8193257359924026E-3</v>
      </c>
      <c r="M8" s="159">
        <f>fc_repos+(z_travail*0.76)</f>
        <v>158.80000000000001</v>
      </c>
      <c r="N8" s="168" t="s">
        <v>104</v>
      </c>
      <c r="O8" s="103" t="s">
        <v>122</v>
      </c>
      <c r="P8" s="157">
        <f>cat_vitesse*20</f>
        <v>105.26315789473685</v>
      </c>
      <c r="Q8" s="165">
        <f>fc_repos+(z_travail*0.9)</f>
        <v>177</v>
      </c>
    </row>
    <row r="9" spans="2:19" ht="33.950000000000003" customHeight="1" x14ac:dyDescent="0.2">
      <c r="B9" s="99" t="s">
        <v>99</v>
      </c>
      <c r="C9" s="162" t="s">
        <v>15</v>
      </c>
      <c r="D9" s="155"/>
      <c r="E9" s="159"/>
      <c r="F9" s="168" t="s">
        <v>99</v>
      </c>
      <c r="G9" s="162" t="s">
        <v>15</v>
      </c>
      <c r="H9" s="155"/>
      <c r="I9" s="159"/>
      <c r="J9" s="168" t="s">
        <v>99</v>
      </c>
      <c r="K9" s="162" t="s">
        <v>15</v>
      </c>
      <c r="L9" s="155"/>
      <c r="M9" s="159"/>
      <c r="N9" s="168" t="s">
        <v>99</v>
      </c>
      <c r="O9" s="162" t="s">
        <v>15</v>
      </c>
      <c r="P9" s="155"/>
      <c r="Q9" s="165"/>
    </row>
    <row r="10" spans="2:19" ht="36.75" customHeight="1" x14ac:dyDescent="0.2">
      <c r="B10" s="99" t="s">
        <v>103</v>
      </c>
      <c r="C10" s="163" t="s">
        <v>4</v>
      </c>
      <c r="D10" s="155">
        <f>cat_test_3/K_test/78%</f>
        <v>2.8193257359924026E-3</v>
      </c>
      <c r="E10" s="159">
        <f>fc_repos+(z_travail*0.76)</f>
        <v>158.80000000000001</v>
      </c>
      <c r="F10" s="168" t="s">
        <v>103</v>
      </c>
      <c r="G10" s="163" t="s">
        <v>4</v>
      </c>
      <c r="H10" s="155">
        <f>cat_test_3/K_test/78%</f>
        <v>2.8193257359924026E-3</v>
      </c>
      <c r="I10" s="159">
        <f>fc_repos+(z_travail*0.76)</f>
        <v>158.80000000000001</v>
      </c>
      <c r="J10" s="168" t="s">
        <v>103</v>
      </c>
      <c r="K10" s="104" t="s">
        <v>163</v>
      </c>
      <c r="L10" s="155">
        <f>cat_test_3/K_test/117%/1000*200</f>
        <v>3.7591009813232044E-4</v>
      </c>
      <c r="M10" s="159">
        <f>fc_repos+(z_travail*0.93)</f>
        <v>180.9</v>
      </c>
      <c r="N10" s="168" t="s">
        <v>103</v>
      </c>
      <c r="O10" s="163" t="s">
        <v>4</v>
      </c>
      <c r="P10" s="155">
        <f>cat_test_3/K_test/78%</f>
        <v>2.8193257359924026E-3</v>
      </c>
      <c r="Q10" s="165">
        <f>fc_repos+(z_travail*0.76)</f>
        <v>158.80000000000001</v>
      </c>
    </row>
    <row r="11" spans="2:19" ht="33.950000000000003" customHeight="1" x14ac:dyDescent="0.2">
      <c r="B11" s="99" t="s">
        <v>100</v>
      </c>
      <c r="C11" s="162" t="s">
        <v>15</v>
      </c>
      <c r="D11" s="155"/>
      <c r="E11" s="159"/>
      <c r="F11" s="168" t="s">
        <v>100</v>
      </c>
      <c r="G11" s="162" t="s">
        <v>15</v>
      </c>
      <c r="H11" s="155"/>
      <c r="I11" s="159"/>
      <c r="J11" s="168" t="s">
        <v>100</v>
      </c>
      <c r="K11" s="162" t="s">
        <v>15</v>
      </c>
      <c r="L11" s="155"/>
      <c r="M11" s="159"/>
      <c r="N11" s="168" t="s">
        <v>100</v>
      </c>
      <c r="O11" s="162" t="s">
        <v>15</v>
      </c>
      <c r="P11" s="155"/>
      <c r="Q11" s="165"/>
    </row>
    <row r="12" spans="2:19" ht="25.5" customHeight="1" x14ac:dyDescent="0.2">
      <c r="B12" s="99" t="s">
        <v>101</v>
      </c>
      <c r="C12" s="162" t="s">
        <v>15</v>
      </c>
      <c r="D12" s="155"/>
      <c r="E12" s="159"/>
      <c r="F12" s="168" t="s">
        <v>101</v>
      </c>
      <c r="G12" s="162" t="s">
        <v>15</v>
      </c>
      <c r="H12" s="155"/>
      <c r="I12" s="159"/>
      <c r="J12" s="168" t="s">
        <v>101</v>
      </c>
      <c r="K12" s="162" t="s">
        <v>15</v>
      </c>
      <c r="L12" s="155"/>
      <c r="M12" s="159"/>
      <c r="N12" s="168" t="s">
        <v>101</v>
      </c>
      <c r="O12" s="162" t="s">
        <v>15</v>
      </c>
      <c r="P12" s="155"/>
      <c r="Q12" s="165"/>
      <c r="S12" s="25"/>
    </row>
    <row r="13" spans="2:19" ht="45.75" customHeight="1" x14ac:dyDescent="0.2">
      <c r="B13" s="105" t="s">
        <v>102</v>
      </c>
      <c r="C13" s="149" t="s">
        <v>187</v>
      </c>
      <c r="D13" s="156" t="str">
        <f>al_marathon</f>
        <v>00:03:39</v>
      </c>
      <c r="E13" s="160">
        <f>fc_competition</f>
        <v>174.09684612934055</v>
      </c>
      <c r="F13" s="169" t="s">
        <v>102</v>
      </c>
      <c r="G13" s="149" t="s">
        <v>175</v>
      </c>
      <c r="H13" s="156" t="str">
        <f>al_marathon</f>
        <v>00:03:39</v>
      </c>
      <c r="I13" s="160">
        <f>fc_competition</f>
        <v>174.09684612934055</v>
      </c>
      <c r="J13" s="169" t="s">
        <v>101</v>
      </c>
      <c r="K13" s="149" t="s">
        <v>180</v>
      </c>
      <c r="L13" s="156" t="str">
        <f>al_marathon</f>
        <v>00:03:39</v>
      </c>
      <c r="M13" s="160">
        <f>fc_competition</f>
        <v>174.09684612934055</v>
      </c>
      <c r="N13" s="169" t="s">
        <v>101</v>
      </c>
      <c r="O13" s="149" t="s">
        <v>179</v>
      </c>
      <c r="P13" s="156" t="str">
        <f>al_marathon</f>
        <v>00:03:39</v>
      </c>
      <c r="Q13" s="166">
        <f>fc_competition</f>
        <v>174.09684612934055</v>
      </c>
    </row>
    <row r="14" spans="2:19" ht="22.5" customHeight="1" x14ac:dyDescent="0.2"/>
    <row r="15" spans="2:19" ht="24" customHeight="1" x14ac:dyDescent="0.2">
      <c r="B15" s="329" t="s">
        <v>19</v>
      </c>
      <c r="C15" s="329"/>
      <c r="D15" s="329"/>
      <c r="E15" s="329"/>
      <c r="F15" s="329"/>
      <c r="G15" s="329"/>
      <c r="H15" s="329"/>
      <c r="I15" s="329"/>
      <c r="J15" s="329"/>
      <c r="K15" s="329"/>
      <c r="L15" s="329"/>
      <c r="M15" s="329"/>
      <c r="N15" s="329"/>
      <c r="O15" s="329"/>
      <c r="P15" s="329"/>
      <c r="Q15" s="329"/>
    </row>
    <row r="16" spans="2:19" s="35" customFormat="1" ht="6" customHeight="1" x14ac:dyDescent="0.2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</row>
    <row r="17" spans="2:17" ht="26.25" customHeight="1" thickBot="1" x14ac:dyDescent="0.25">
      <c r="B17" s="136"/>
      <c r="C17" s="145" t="str">
        <f>"semaine du "&amp;TEXT(mdate-55,"jj/mm")&amp;" au "&amp;TEXT(mdate-49,"jj/mm")</f>
        <v>semaine du 17/10 au 23/10</v>
      </c>
      <c r="D17" s="147"/>
      <c r="E17" s="146"/>
      <c r="F17" s="148"/>
      <c r="G17" s="145" t="str">
        <f>"semaine du "&amp;TEXT(mdate-48,"jj/mm")&amp;" au "&amp;TEXT(mdate-42,"jj/mm")</f>
        <v>semaine du 24/10 au 30/10</v>
      </c>
      <c r="H17" s="147"/>
      <c r="I17" s="146"/>
      <c r="J17" s="148"/>
      <c r="K17" s="145" t="str">
        <f>"semaine du "&amp;TEXT(mdate-41,"jj/mm")&amp;" au "&amp;TEXT(mdate-35,"jj/mm")</f>
        <v>semaine du 31/10 au 06/11</v>
      </c>
      <c r="L17" s="138"/>
      <c r="M17" s="146"/>
      <c r="N17" s="148"/>
      <c r="O17" s="145" t="str">
        <f>"semaine du "&amp;TEXT(mdate-34,"jj/mm")&amp;" au "&amp;TEXT(mdate-28,"jj/mm")</f>
        <v>semaine du 07/11 au 13/11</v>
      </c>
      <c r="P17" s="138"/>
      <c r="Q17" s="139"/>
    </row>
    <row r="18" spans="2:17" ht="26.25" customHeight="1" x14ac:dyDescent="0.2">
      <c r="B18" s="97" t="s">
        <v>105</v>
      </c>
      <c r="C18" s="161" t="s">
        <v>15</v>
      </c>
      <c r="D18" s="154"/>
      <c r="E18" s="158"/>
      <c r="F18" s="98" t="s">
        <v>105</v>
      </c>
      <c r="G18" s="161" t="s">
        <v>15</v>
      </c>
      <c r="H18" s="234"/>
      <c r="I18" s="235"/>
      <c r="J18" s="98" t="s">
        <v>105</v>
      </c>
      <c r="K18" s="161" t="s">
        <v>15</v>
      </c>
      <c r="L18" s="154"/>
      <c r="M18" s="158"/>
      <c r="N18" s="98" t="s">
        <v>105</v>
      </c>
      <c r="O18" s="161" t="s">
        <v>15</v>
      </c>
      <c r="P18" s="154"/>
      <c r="Q18" s="164"/>
    </row>
    <row r="19" spans="2:17" ht="26.25" customHeight="1" x14ac:dyDescent="0.2">
      <c r="B19" s="99" t="s">
        <v>104</v>
      </c>
      <c r="C19" s="163" t="s">
        <v>171</v>
      </c>
      <c r="D19" s="155">
        <f>cat_test_3/K_test/78%</f>
        <v>2.8193257359924026E-3</v>
      </c>
      <c r="E19" s="159">
        <f>fc_repos+(z_travail*0.76)</f>
        <v>158.80000000000001</v>
      </c>
      <c r="F19" s="101" t="s">
        <v>104</v>
      </c>
      <c r="G19" s="103" t="s">
        <v>158</v>
      </c>
      <c r="H19" s="157">
        <f>cat_vitesse*95%*80</f>
        <v>400</v>
      </c>
      <c r="I19" s="159">
        <f>fc_repos+(z_travail*0.88)</f>
        <v>174.4</v>
      </c>
      <c r="J19" s="101" t="s">
        <v>104</v>
      </c>
      <c r="K19" s="108" t="s">
        <v>149</v>
      </c>
      <c r="L19" s="155" t="str">
        <f>al_marathon</f>
        <v>00:03:39</v>
      </c>
      <c r="M19" s="159">
        <f>fc_competition</f>
        <v>174.09684612934055</v>
      </c>
      <c r="N19" s="101" t="s">
        <v>104</v>
      </c>
      <c r="O19" s="103" t="s">
        <v>157</v>
      </c>
      <c r="P19" s="157">
        <f>cat_vitesse*40</f>
        <v>210.5263157894737</v>
      </c>
      <c r="Q19" s="236">
        <f>fc_repos+(z_travail*0.9)</f>
        <v>177</v>
      </c>
    </row>
    <row r="20" spans="2:17" ht="33.950000000000003" customHeight="1" x14ac:dyDescent="0.2">
      <c r="B20" s="129" t="s">
        <v>99</v>
      </c>
      <c r="C20" s="238" t="s">
        <v>15</v>
      </c>
      <c r="D20" s="170"/>
      <c r="E20" s="171"/>
      <c r="F20" s="150" t="s">
        <v>99</v>
      </c>
      <c r="G20" s="238" t="s">
        <v>15</v>
      </c>
      <c r="H20" s="170"/>
      <c r="I20" s="171"/>
      <c r="J20" s="150" t="s">
        <v>99</v>
      </c>
      <c r="K20" s="238" t="s">
        <v>15</v>
      </c>
      <c r="L20" s="170"/>
      <c r="M20" s="171"/>
      <c r="N20" s="150" t="s">
        <v>99</v>
      </c>
      <c r="O20" s="238" t="s">
        <v>15</v>
      </c>
      <c r="P20" s="170"/>
      <c r="Q20" s="237"/>
    </row>
    <row r="21" spans="2:17" ht="33.950000000000003" customHeight="1" x14ac:dyDescent="0.2">
      <c r="B21" s="99" t="s">
        <v>103</v>
      </c>
      <c r="C21" s="104" t="s">
        <v>162</v>
      </c>
      <c r="D21" s="155">
        <f>cat_test_3/K_test/99%/1000*900</f>
        <v>1.9991582491582492E-3</v>
      </c>
      <c r="E21" s="159">
        <f>fc_repos+(z_travail*0.89)</f>
        <v>175.7</v>
      </c>
      <c r="F21" s="101" t="s">
        <v>103</v>
      </c>
      <c r="G21" s="163" t="s">
        <v>4</v>
      </c>
      <c r="H21" s="155">
        <f>cat_test_3/K_test/78%</f>
        <v>2.8193257359924026E-3</v>
      </c>
      <c r="I21" s="159">
        <f>fc_repos+(z_travail*0.76)</f>
        <v>158.80000000000001</v>
      </c>
      <c r="J21" s="101" t="s">
        <v>103</v>
      </c>
      <c r="K21" s="163" t="s">
        <v>178</v>
      </c>
      <c r="L21" s="155">
        <f>cat_test_3/K_test/68%</f>
        <v>3.2339324618736384E-3</v>
      </c>
      <c r="M21" s="159">
        <f>fc_repos+(z_travail*0.68)</f>
        <v>148.4</v>
      </c>
      <c r="N21" s="101" t="s">
        <v>103</v>
      </c>
      <c r="O21" s="163" t="s">
        <v>4</v>
      </c>
      <c r="P21" s="155">
        <f>cat_test_3/K_test/78%</f>
        <v>2.8193257359924026E-3</v>
      </c>
      <c r="Q21" s="165">
        <f>fc_repos+(z_travail*0.76)</f>
        <v>158.80000000000001</v>
      </c>
    </row>
    <row r="22" spans="2:17" ht="33.950000000000003" customHeight="1" x14ac:dyDescent="0.2">
      <c r="B22" s="99" t="s">
        <v>100</v>
      </c>
      <c r="C22" s="162" t="s">
        <v>15</v>
      </c>
      <c r="D22" s="155"/>
      <c r="E22" s="159"/>
      <c r="F22" s="101" t="s">
        <v>100</v>
      </c>
      <c r="G22" s="162" t="s">
        <v>15</v>
      </c>
      <c r="H22" s="155"/>
      <c r="I22" s="159"/>
      <c r="J22" s="101" t="s">
        <v>100</v>
      </c>
      <c r="K22" s="162" t="s">
        <v>15</v>
      </c>
      <c r="L22" s="155"/>
      <c r="M22" s="159"/>
      <c r="N22" s="101" t="s">
        <v>100</v>
      </c>
      <c r="O22" s="162" t="s">
        <v>15</v>
      </c>
      <c r="P22" s="155"/>
      <c r="Q22" s="165"/>
    </row>
    <row r="23" spans="2:17" ht="33.950000000000003" customHeight="1" x14ac:dyDescent="0.2">
      <c r="B23" s="99" t="s">
        <v>101</v>
      </c>
      <c r="C23" s="162" t="s">
        <v>15</v>
      </c>
      <c r="D23" s="155"/>
      <c r="E23" s="159"/>
      <c r="F23" s="101" t="s">
        <v>101</v>
      </c>
      <c r="G23" s="162" t="s">
        <v>15</v>
      </c>
      <c r="H23" s="155"/>
      <c r="I23" s="159"/>
      <c r="J23" s="101" t="s">
        <v>101</v>
      </c>
      <c r="K23" s="162" t="s">
        <v>15</v>
      </c>
      <c r="L23" s="155"/>
      <c r="M23" s="159"/>
      <c r="N23" s="101" t="s">
        <v>101</v>
      </c>
      <c r="O23" s="162" t="s">
        <v>15</v>
      </c>
      <c r="P23" s="155"/>
      <c r="Q23" s="165"/>
    </row>
    <row r="24" spans="2:17" ht="42" customHeight="1" x14ac:dyDescent="0.2">
      <c r="B24" s="105" t="s">
        <v>102</v>
      </c>
      <c r="C24" s="149" t="s">
        <v>183</v>
      </c>
      <c r="D24" s="156" t="str">
        <f>al_marathon</f>
        <v>00:03:39</v>
      </c>
      <c r="E24" s="160">
        <f>fc_competition</f>
        <v>174.09684612934055</v>
      </c>
      <c r="F24" s="107" t="s">
        <v>102</v>
      </c>
      <c r="G24" s="149" t="s">
        <v>182</v>
      </c>
      <c r="H24" s="156" t="str">
        <f>al_marathon</f>
        <v>00:03:39</v>
      </c>
      <c r="I24" s="160">
        <f>fc_competition</f>
        <v>174.09684612934055</v>
      </c>
      <c r="J24" s="107" t="s">
        <v>102</v>
      </c>
      <c r="K24" s="117" t="s">
        <v>118</v>
      </c>
      <c r="L24" s="118">
        <f>vma_obj_km*10/0.885</f>
        <v>2.4979075120318054E-2</v>
      </c>
      <c r="M24" s="119">
        <f>fc_competition</f>
        <v>174.09684612934055</v>
      </c>
      <c r="N24" s="107" t="s">
        <v>102</v>
      </c>
      <c r="O24" s="149" t="s">
        <v>181</v>
      </c>
      <c r="P24" s="156" t="str">
        <f>al_marathon</f>
        <v>00:03:39</v>
      </c>
      <c r="Q24" s="166">
        <f>fc_competition</f>
        <v>174.09684612934055</v>
      </c>
    </row>
    <row r="25" spans="2:17" ht="24.75" customHeight="1" x14ac:dyDescent="0.2"/>
    <row r="26" spans="2:17" ht="23.25" customHeight="1" x14ac:dyDescent="0.2">
      <c r="B26" s="329" t="s">
        <v>106</v>
      </c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7" spans="2:17" s="35" customFormat="1" ht="6.75" customHeight="1" x14ac:dyDescent="0.2"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</row>
    <row r="28" spans="2:17" ht="33.950000000000003" customHeight="1" thickBot="1" x14ac:dyDescent="0.25">
      <c r="B28" s="134"/>
      <c r="C28" s="145" t="str">
        <f>"semaine du "&amp;TEXT(mdate-27,"jj/mm")&amp;" au "&amp;TEXT(mdate-21,"jj/mm")</f>
        <v>semaine du 14/11 au 20/11</v>
      </c>
      <c r="D28" s="147"/>
      <c r="E28" s="146"/>
      <c r="F28" s="148"/>
      <c r="G28" s="145" t="str">
        <f>"semaine du "&amp;TEXT(mdate-20,"jj/mm")&amp;" au "&amp;TEXT(mdate-14,"jj/mm")</f>
        <v>semaine du 21/11 au 27/11</v>
      </c>
      <c r="H28" s="147"/>
      <c r="I28" s="146"/>
      <c r="J28" s="148"/>
      <c r="K28" s="145" t="str">
        <f>"semaine du "&amp;TEXT(mdate-13,"jj/mm")&amp;" au "&amp;TEXT(mdate-7,"jj/mm")</f>
        <v>semaine du 28/11 au 04/12</v>
      </c>
      <c r="L28" s="138"/>
      <c r="M28" s="146"/>
      <c r="N28" s="148"/>
      <c r="O28" s="145" t="str">
        <f>"semaine du "&amp;TEXT(mdate-6,"jj/mm")&amp;" au "&amp;TEXT(mdate,"jj/mm")</f>
        <v>semaine du 05/12 au 11/12</v>
      </c>
      <c r="P28" s="138"/>
      <c r="Q28" s="139"/>
    </row>
    <row r="29" spans="2:17" ht="33.950000000000003" customHeight="1" x14ac:dyDescent="0.2">
      <c r="B29" s="97" t="s">
        <v>105</v>
      </c>
      <c r="C29" s="161" t="s">
        <v>15</v>
      </c>
      <c r="D29" s="154"/>
      <c r="E29" s="158"/>
      <c r="F29" s="98" t="s">
        <v>105</v>
      </c>
      <c r="G29" s="161" t="s">
        <v>15</v>
      </c>
      <c r="H29" s="154"/>
      <c r="I29" s="158"/>
      <c r="J29" s="98" t="s">
        <v>105</v>
      </c>
      <c r="K29" s="161" t="s">
        <v>15</v>
      </c>
      <c r="L29" s="154"/>
      <c r="M29" s="158"/>
      <c r="N29" s="98" t="s">
        <v>105</v>
      </c>
      <c r="O29" s="161" t="s">
        <v>15</v>
      </c>
      <c r="P29" s="154"/>
      <c r="Q29" s="164"/>
    </row>
    <row r="30" spans="2:17" ht="33.950000000000003" customHeight="1" x14ac:dyDescent="0.2">
      <c r="B30" s="99" t="s">
        <v>104</v>
      </c>
      <c r="C30" s="162" t="s">
        <v>15</v>
      </c>
      <c r="D30" s="157"/>
      <c r="E30" s="159"/>
      <c r="F30" s="101" t="s">
        <v>104</v>
      </c>
      <c r="G30" s="163" t="s">
        <v>172</v>
      </c>
      <c r="H30" s="155">
        <f>cat_test_3/K_test/78%</f>
        <v>2.8193257359924026E-3</v>
      </c>
      <c r="I30" s="159">
        <f>fc_repos+(z_travail*0.76)</f>
        <v>158.80000000000001</v>
      </c>
      <c r="J30" s="101" t="s">
        <v>104</v>
      </c>
      <c r="K30" s="103" t="s">
        <v>120</v>
      </c>
      <c r="L30" s="157">
        <f>cat_vitesse*95%*60</f>
        <v>300</v>
      </c>
      <c r="M30" s="159">
        <f>fc_repos+(z_travail*0.88)</f>
        <v>174.4</v>
      </c>
      <c r="N30" s="101" t="s">
        <v>104</v>
      </c>
      <c r="O30" s="162" t="s">
        <v>15</v>
      </c>
      <c r="P30" s="157"/>
      <c r="Q30" s="165"/>
    </row>
    <row r="31" spans="2:17" ht="33.950000000000003" customHeight="1" x14ac:dyDescent="0.2">
      <c r="B31" s="99" t="s">
        <v>99</v>
      </c>
      <c r="C31" s="108" t="s">
        <v>185</v>
      </c>
      <c r="D31" s="155" t="str">
        <f>al_marathon</f>
        <v>00:03:39</v>
      </c>
      <c r="E31" s="159">
        <f>fc_competition</f>
        <v>174.09684612934055</v>
      </c>
      <c r="F31" s="101" t="s">
        <v>99</v>
      </c>
      <c r="G31" s="162" t="s">
        <v>15</v>
      </c>
      <c r="H31" s="155"/>
      <c r="I31" s="159"/>
      <c r="J31" s="101" t="s">
        <v>99</v>
      </c>
      <c r="K31" s="162" t="s">
        <v>15</v>
      </c>
      <c r="L31" s="155"/>
      <c r="M31" s="159"/>
      <c r="N31" s="101" t="s">
        <v>99</v>
      </c>
      <c r="O31" s="104" t="s">
        <v>130</v>
      </c>
      <c r="P31" s="155">
        <f>cat_test_3/K_test/105%/1000*400</f>
        <v>8.3774250440917116E-4</v>
      </c>
      <c r="Q31" s="165">
        <f>fc_repos+(z_travail*0.92)</f>
        <v>179.60000000000002</v>
      </c>
    </row>
    <row r="32" spans="2:17" ht="33.950000000000003" customHeight="1" x14ac:dyDescent="0.2">
      <c r="B32" s="99" t="s">
        <v>103</v>
      </c>
      <c r="C32" s="162" t="s">
        <v>15</v>
      </c>
      <c r="D32" s="155"/>
      <c r="E32" s="159"/>
      <c r="F32" s="101" t="s">
        <v>103</v>
      </c>
      <c r="G32" s="104" t="s">
        <v>161</v>
      </c>
      <c r="H32" s="155">
        <f>cat_test_3/K_test/98%/1000*1200</f>
        <v>2.6927437641723361E-3</v>
      </c>
      <c r="I32" s="159">
        <f>fc_repos+(z_travail*0.88)</f>
        <v>174.4</v>
      </c>
      <c r="J32" s="101" t="s">
        <v>103</v>
      </c>
      <c r="K32" s="163" t="s">
        <v>4</v>
      </c>
      <c r="L32" s="155">
        <f>cat_test_3/K_test/78%</f>
        <v>2.8193257359924026E-3</v>
      </c>
      <c r="M32" s="159">
        <f>fc_repos+(z_travail*0.76)</f>
        <v>158.80000000000001</v>
      </c>
      <c r="N32" s="101" t="s">
        <v>103</v>
      </c>
      <c r="O32" s="162" t="s">
        <v>15</v>
      </c>
      <c r="P32" s="155"/>
      <c r="Q32" s="165"/>
    </row>
    <row r="33" spans="2:17" ht="37.5" customHeight="1" x14ac:dyDescent="0.2">
      <c r="B33" s="99" t="s">
        <v>100</v>
      </c>
      <c r="C33" s="120" t="s">
        <v>195</v>
      </c>
      <c r="D33" s="155">
        <f>cat_test_3/K_test/68%</f>
        <v>3.2339324618736384E-3</v>
      </c>
      <c r="E33" s="159">
        <f>fc_repos+(z_travail*0.68)</f>
        <v>148.4</v>
      </c>
      <c r="F33" s="101" t="s">
        <v>100</v>
      </c>
      <c r="G33" s="162" t="s">
        <v>15</v>
      </c>
      <c r="H33" s="155"/>
      <c r="I33" s="159"/>
      <c r="J33" s="101" t="s">
        <v>100</v>
      </c>
      <c r="K33" s="162" t="s">
        <v>15</v>
      </c>
      <c r="L33" s="155"/>
      <c r="M33" s="159"/>
      <c r="N33" s="101" t="s">
        <v>100</v>
      </c>
      <c r="O33" s="120" t="s">
        <v>165</v>
      </c>
      <c r="P33" s="155">
        <f>cat_test_3/K_test/68%</f>
        <v>3.2339324618736384E-3</v>
      </c>
      <c r="Q33" s="165">
        <f>fc_repos+(z_travail*0.68)</f>
        <v>148.4</v>
      </c>
    </row>
    <row r="34" spans="2:17" ht="33.950000000000003" customHeight="1" x14ac:dyDescent="0.2">
      <c r="B34" s="99" t="s">
        <v>101</v>
      </c>
      <c r="C34" s="162" t="s">
        <v>15</v>
      </c>
      <c r="D34" s="155"/>
      <c r="E34" s="159"/>
      <c r="F34" s="101" t="s">
        <v>101</v>
      </c>
      <c r="G34" s="162" t="s">
        <v>15</v>
      </c>
      <c r="H34" s="155"/>
      <c r="I34" s="159"/>
      <c r="J34" s="101" t="s">
        <v>101</v>
      </c>
      <c r="K34" s="162" t="s">
        <v>15</v>
      </c>
      <c r="L34" s="155"/>
      <c r="M34" s="159"/>
      <c r="N34" s="101" t="s">
        <v>101</v>
      </c>
      <c r="O34" s="162" t="s">
        <v>15</v>
      </c>
      <c r="P34" s="155"/>
      <c r="Q34" s="165"/>
    </row>
    <row r="35" spans="2:17" ht="45" customHeight="1" x14ac:dyDescent="0.2">
      <c r="B35" s="105" t="s">
        <v>102</v>
      </c>
      <c r="C35" s="117" t="s">
        <v>148</v>
      </c>
      <c r="D35" s="118">
        <f>al_marathon*15</f>
        <v>3.802083333333333E-2</v>
      </c>
      <c r="E35" s="119">
        <f>fc_competition</f>
        <v>174.09684612934055</v>
      </c>
      <c r="F35" s="107" t="s">
        <v>102</v>
      </c>
      <c r="G35" s="149" t="s">
        <v>184</v>
      </c>
      <c r="H35" s="156" t="str">
        <f>al_marathon</f>
        <v>00:03:39</v>
      </c>
      <c r="I35" s="160">
        <f>fc_competition</f>
        <v>174.09684612934055</v>
      </c>
      <c r="J35" s="107" t="s">
        <v>102</v>
      </c>
      <c r="K35" s="149" t="s">
        <v>186</v>
      </c>
      <c r="L35" s="156" t="str">
        <f>al_marathon</f>
        <v>00:03:39</v>
      </c>
      <c r="M35" s="160">
        <f>fc_competition</f>
        <v>174.09684612934055</v>
      </c>
      <c r="N35" s="107" t="s">
        <v>102</v>
      </c>
      <c r="O35" s="126" t="s">
        <v>136</v>
      </c>
      <c r="P35" s="118">
        <f>objectif</f>
        <v>5.0694444444444452E-2</v>
      </c>
      <c r="Q35" s="128">
        <f>fc_competition</f>
        <v>174.09684612934055</v>
      </c>
    </row>
  </sheetData>
  <sheetProtection password="F7AF" sheet="1" objects="1" scenarios="1"/>
  <mergeCells count="4">
    <mergeCell ref="B4:Q4"/>
    <mergeCell ref="B15:Q15"/>
    <mergeCell ref="B2:Q2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7:F34"/>
  <sheetViews>
    <sheetView workbookViewId="0">
      <selection activeCell="I10" sqref="I10"/>
    </sheetView>
  </sheetViews>
  <sheetFormatPr baseColWidth="10" defaultRowHeight="12.75" customHeight="1" x14ac:dyDescent="0.2"/>
  <cols>
    <col min="1" max="1" width="18.7109375" style="34" customWidth="1"/>
    <col min="2" max="2" width="11.28515625" style="33" customWidth="1"/>
    <col min="3" max="3" width="18.7109375" style="33" customWidth="1"/>
    <col min="4" max="4" width="11.28515625" style="33" customWidth="1"/>
    <col min="5" max="5" width="18.7109375" style="33" customWidth="1"/>
    <col min="6" max="6" width="11.28515625" style="33" customWidth="1"/>
    <col min="7" max="16384" width="11.42578125" style="33"/>
  </cols>
  <sheetData>
    <row r="7" spans="1:6" ht="12.75" customHeight="1" thickBot="1" x14ac:dyDescent="0.25"/>
    <row r="8" spans="1:6" ht="12.75" customHeight="1" x14ac:dyDescent="0.2">
      <c r="A8" s="331" t="s">
        <v>25</v>
      </c>
      <c r="B8" s="332"/>
      <c r="C8" s="332"/>
      <c r="D8" s="332"/>
      <c r="E8" s="332"/>
      <c r="F8" s="333"/>
    </row>
    <row r="9" spans="1:6" ht="12.75" customHeight="1" thickBot="1" x14ac:dyDescent="0.25">
      <c r="A9" s="44"/>
      <c r="B9" s="45"/>
      <c r="C9" s="334" t="s">
        <v>26</v>
      </c>
      <c r="D9" s="335"/>
      <c r="E9" s="334" t="s">
        <v>27</v>
      </c>
      <c r="F9" s="336"/>
    </row>
    <row r="10" spans="1:6" ht="12.75" customHeight="1" x14ac:dyDescent="0.2">
      <c r="A10" s="46" t="s">
        <v>28</v>
      </c>
      <c r="B10" s="47">
        <f>fc_repos</f>
        <v>60</v>
      </c>
      <c r="C10" s="46" t="s">
        <v>29</v>
      </c>
      <c r="D10" s="52">
        <f>100/(v_vma+(0.5*0.9))</f>
        <v>222.22222222222223</v>
      </c>
      <c r="E10" s="46" t="s">
        <v>30</v>
      </c>
      <c r="F10" s="61">
        <v>3.4722222222222224E-4</v>
      </c>
    </row>
    <row r="11" spans="1:6" ht="12.75" customHeight="1" x14ac:dyDescent="0.2">
      <c r="A11" s="38" t="s">
        <v>33</v>
      </c>
      <c r="B11" s="48">
        <f>fc_repos+(z_travail*0.98)</f>
        <v>187.39999999999998</v>
      </c>
      <c r="C11" s="38" t="s">
        <v>34</v>
      </c>
      <c r="D11" s="53">
        <f>200/(v_vma+(0.5*0.8))</f>
        <v>500</v>
      </c>
      <c r="E11" s="38" t="s">
        <v>35</v>
      </c>
      <c r="F11" s="39">
        <v>4.0509259259259258E-4</v>
      </c>
    </row>
    <row r="12" spans="1:6" ht="12.75" customHeight="1" x14ac:dyDescent="0.2">
      <c r="A12" s="38" t="s">
        <v>82</v>
      </c>
      <c r="B12" s="48">
        <f>fc_repos+(z_travail*((100-(300/dist_vma_min))/100))</f>
        <v>186.1</v>
      </c>
      <c r="C12" s="38" t="s">
        <v>37</v>
      </c>
      <c r="D12" s="53">
        <f>300/(v_vma+(0.5*0.7))</f>
        <v>857.14285714285722</v>
      </c>
      <c r="E12" s="38" t="s">
        <v>38</v>
      </c>
      <c r="F12" s="39">
        <v>5.7870370370370378E-4</v>
      </c>
    </row>
    <row r="13" spans="1:6" ht="12.75" customHeight="1" x14ac:dyDescent="0.2">
      <c r="A13" s="38" t="s">
        <v>36</v>
      </c>
      <c r="B13" s="48">
        <f>fc_repos+(z_travail*((100-(400/dist_vma_min))/100))</f>
        <v>184.8</v>
      </c>
      <c r="C13" s="38" t="s">
        <v>41</v>
      </c>
      <c r="D13" s="53">
        <f>400/(v_vma+(0.5*0.6))</f>
        <v>1333.3333333333335</v>
      </c>
      <c r="E13" s="38" t="s">
        <v>42</v>
      </c>
      <c r="F13" s="39">
        <v>6.9444444444444447E-4</v>
      </c>
    </row>
    <row r="14" spans="1:6" ht="12.75" customHeight="1" x14ac:dyDescent="0.2">
      <c r="A14" s="38" t="s">
        <v>40</v>
      </c>
      <c r="B14" s="48">
        <f>fc_repos+(z_travail*((100-(500/dist_vma_min))/100))</f>
        <v>183.5</v>
      </c>
      <c r="C14" s="38" t="s">
        <v>44</v>
      </c>
      <c r="D14" s="53">
        <f>500/(v_vma+(0.5*0.5))</f>
        <v>2000</v>
      </c>
      <c r="E14" s="38" t="s">
        <v>45</v>
      </c>
      <c r="F14" s="39">
        <v>6.9444444444444447E-4</v>
      </c>
    </row>
    <row r="15" spans="1:6" ht="12.75" customHeight="1" x14ac:dyDescent="0.2">
      <c r="A15" s="38" t="s">
        <v>190</v>
      </c>
      <c r="B15" s="48">
        <f>fc_repos+(z_travail*((100-(700/dist_vma_min))/100))</f>
        <v>180.9</v>
      </c>
      <c r="C15" s="38"/>
      <c r="D15" s="54"/>
      <c r="E15" s="38"/>
      <c r="F15" s="39"/>
    </row>
    <row r="16" spans="1:6" ht="12.75" customHeight="1" x14ac:dyDescent="0.2">
      <c r="A16" s="38" t="s">
        <v>83</v>
      </c>
      <c r="B16" s="48">
        <f>fc_repos+(z_travail*((100-(800/dist_vma_min))/100))</f>
        <v>179.60000000000002</v>
      </c>
      <c r="C16" s="38" t="s">
        <v>48</v>
      </c>
      <c r="D16" s="54" t="e">
        <f>1000/v_vma</f>
        <v>#DIV/0!</v>
      </c>
      <c r="E16" s="38" t="s">
        <v>49</v>
      </c>
      <c r="F16" s="39">
        <v>1.0416666666666667E-3</v>
      </c>
    </row>
    <row r="17" spans="1:6" ht="12.75" customHeight="1" x14ac:dyDescent="0.2">
      <c r="A17" s="38" t="s">
        <v>84</v>
      </c>
      <c r="B17" s="48">
        <f>fc_repos+(z_travail*((100-(1200/dist_vma_min))/100))</f>
        <v>174.4</v>
      </c>
      <c r="C17" s="38" t="s">
        <v>199</v>
      </c>
      <c r="D17" s="55">
        <f>fc_repos+(z_travail*k_semi)*rapport</f>
        <v>174.09684612934055</v>
      </c>
      <c r="E17" s="38"/>
      <c r="F17" s="39"/>
    </row>
    <row r="18" spans="1:6" ht="12.75" customHeight="1" x14ac:dyDescent="0.2">
      <c r="A18" s="38" t="s">
        <v>43</v>
      </c>
      <c r="B18" s="48">
        <f>fc_repos+(z_travail*k_vma*k_semi)</f>
        <v>159.52800000000002</v>
      </c>
      <c r="C18" s="38" t="s">
        <v>200</v>
      </c>
      <c r="D18" s="56">
        <f>t_th_marathon/objectif</f>
        <v>1.0088138472974408</v>
      </c>
      <c r="E18" s="62"/>
      <c r="F18" s="40"/>
    </row>
    <row r="19" spans="1:6" ht="12.75" customHeight="1" x14ac:dyDescent="0.2">
      <c r="A19" s="38" t="s">
        <v>47</v>
      </c>
      <c r="B19" s="48">
        <f>fc_max-fc_repos</f>
        <v>130</v>
      </c>
      <c r="C19" s="38"/>
      <c r="D19" s="54"/>
      <c r="E19" s="62"/>
      <c r="F19" s="40"/>
    </row>
    <row r="20" spans="1:6" ht="12.75" customHeight="1" x14ac:dyDescent="0.2">
      <c r="A20" s="38"/>
      <c r="B20" s="48"/>
      <c r="C20" s="38" t="s">
        <v>51</v>
      </c>
      <c r="D20" s="39">
        <f>seuil*3</f>
        <v>3.3995078764897466E-3</v>
      </c>
      <c r="E20" s="38"/>
      <c r="F20" s="41"/>
    </row>
    <row r="21" spans="1:6" ht="12.75" customHeight="1" x14ac:dyDescent="0.2">
      <c r="A21" s="38" t="s">
        <v>50</v>
      </c>
      <c r="B21" s="49">
        <f>IF(D_test=2000,0.88,0.9)</f>
        <v>0.88</v>
      </c>
      <c r="C21" s="38" t="s">
        <v>53</v>
      </c>
      <c r="D21" s="39">
        <f>seuil*4</f>
        <v>4.5326771686529958E-3</v>
      </c>
      <c r="E21" s="38"/>
      <c r="F21" s="41"/>
    </row>
    <row r="22" spans="1:6" ht="12.75" customHeight="1" x14ac:dyDescent="0.2">
      <c r="A22" s="38" t="s">
        <v>52</v>
      </c>
      <c r="B22" s="49">
        <f>IF(D_test=2000,0.88,0.88)</f>
        <v>0.88</v>
      </c>
      <c r="C22" s="38" t="s">
        <v>56</v>
      </c>
      <c r="D22" s="54" t="e">
        <f>dist_vma/(v_vma+(0.5*((1000-dist_vma)/1000)))</f>
        <v>#DIV/0!</v>
      </c>
      <c r="E22" s="38"/>
      <c r="F22" s="41"/>
    </row>
    <row r="23" spans="1:6" ht="12.75" customHeight="1" x14ac:dyDescent="0.2">
      <c r="A23" s="38" t="s">
        <v>55</v>
      </c>
      <c r="B23" s="49">
        <f>IF(D_test=2000,0.78,0.8)</f>
        <v>0.78</v>
      </c>
      <c r="C23" s="38"/>
      <c r="D23" s="54"/>
      <c r="E23" s="38"/>
      <c r="F23" s="41"/>
    </row>
    <row r="24" spans="1:6" ht="12.75" customHeight="1" x14ac:dyDescent="0.2">
      <c r="A24" s="38" t="s">
        <v>189</v>
      </c>
      <c r="B24" s="50">
        <v>0.88500000000000001</v>
      </c>
      <c r="C24" s="38" t="s">
        <v>59</v>
      </c>
      <c r="D24" s="48">
        <f>fc_repos+(z_travail*((100-(dist_vma/dist_vma_min))/100))</f>
        <v>177</v>
      </c>
      <c r="E24" s="38"/>
      <c r="F24" s="41"/>
    </row>
    <row r="25" spans="1:6" ht="12.75" customHeight="1" x14ac:dyDescent="0.2">
      <c r="A25" s="38" t="s">
        <v>58</v>
      </c>
      <c r="B25" s="49">
        <v>0.68</v>
      </c>
      <c r="C25" s="38" t="s">
        <v>61</v>
      </c>
      <c r="D25" s="48">
        <f>fc_repos+(z_travail*((100-(100/dist_vma_min))/100))</f>
        <v>188.7</v>
      </c>
      <c r="E25" s="58"/>
      <c r="F25" s="41"/>
    </row>
    <row r="26" spans="1:6" ht="12.75" customHeight="1" x14ac:dyDescent="0.2">
      <c r="A26" s="38" t="s">
        <v>60</v>
      </c>
      <c r="B26" s="49">
        <f>IF(D_test=2000,0.83,0.85)</f>
        <v>0.83</v>
      </c>
      <c r="C26" s="38" t="s">
        <v>63</v>
      </c>
      <c r="D26" s="57">
        <f>vma_obj_km*10/k_10</f>
        <v>2.6634315037929492E-2</v>
      </c>
      <c r="E26" s="58"/>
      <c r="F26" s="41"/>
    </row>
    <row r="27" spans="1:6" ht="12.75" customHeight="1" x14ac:dyDescent="0.2">
      <c r="A27" s="38" t="s">
        <v>62</v>
      </c>
      <c r="B27" s="49">
        <f>IF(D_test=2000,0.87,0.87)</f>
        <v>0.87</v>
      </c>
      <c r="C27" s="38" t="s">
        <v>66</v>
      </c>
      <c r="D27" s="57">
        <f>vma_obj_km/k_semi*dist_semi</f>
        <v>5.0819497658578107E-2</v>
      </c>
      <c r="E27" s="58"/>
      <c r="F27" s="41"/>
    </row>
    <row r="28" spans="1:6" ht="12.75" customHeight="1" x14ac:dyDescent="0.2">
      <c r="A28" s="38" t="s">
        <v>65</v>
      </c>
      <c r="B28" s="49">
        <f>IF(D_test=2000,0.83,0.85)</f>
        <v>0.83</v>
      </c>
      <c r="C28" s="38" t="s">
        <v>68</v>
      </c>
      <c r="D28" s="57">
        <f>vma_obj_km/k_semi</f>
        <v>2.5409748829289054E-3</v>
      </c>
      <c r="E28" s="58"/>
      <c r="F28" s="41"/>
    </row>
    <row r="29" spans="1:6" ht="12.75" customHeight="1" x14ac:dyDescent="0.2">
      <c r="A29" s="38" t="s">
        <v>67</v>
      </c>
      <c r="B29" s="49">
        <f>IF(D_test=2000,3.55,3.7)</f>
        <v>3.55</v>
      </c>
      <c r="C29" s="38" t="s">
        <v>70</v>
      </c>
      <c r="D29" s="57">
        <f>endurance/K_facile</f>
        <v>0</v>
      </c>
      <c r="E29" s="58"/>
      <c r="F29" s="41"/>
    </row>
    <row r="30" spans="1:6" ht="12.75" customHeight="1" x14ac:dyDescent="0.2">
      <c r="A30" s="38" t="s">
        <v>69</v>
      </c>
      <c r="B30" s="48">
        <v>100</v>
      </c>
      <c r="C30" s="38" t="s">
        <v>13</v>
      </c>
      <c r="D30" s="57">
        <f>(objectif/dist_marathon)*k_marat/k_anaero</f>
        <v>1.1331692921632489E-3</v>
      </c>
      <c r="E30" s="58"/>
      <c r="F30" s="41"/>
    </row>
    <row r="31" spans="1:6" ht="12.75" customHeight="1" x14ac:dyDescent="0.2">
      <c r="A31" s="38" t="s">
        <v>71</v>
      </c>
      <c r="B31" s="50">
        <v>42.195</v>
      </c>
      <c r="C31" s="58"/>
      <c r="D31" s="41"/>
      <c r="E31" s="58"/>
      <c r="F31" s="41"/>
    </row>
    <row r="32" spans="1:6" ht="12.75" customHeight="1" x14ac:dyDescent="0.2">
      <c r="A32" s="38" t="s">
        <v>20</v>
      </c>
      <c r="B32" s="50">
        <v>20</v>
      </c>
      <c r="C32" s="58"/>
      <c r="D32" s="41"/>
      <c r="E32" s="58"/>
      <c r="F32" s="41"/>
    </row>
    <row r="33" spans="1:6" ht="12.75" customHeight="1" x14ac:dyDescent="0.2">
      <c r="A33" s="38" t="s">
        <v>21</v>
      </c>
      <c r="B33" s="48">
        <f>IF(Etalonnage!C9=2000,2,1.5)</f>
        <v>2</v>
      </c>
      <c r="C33" s="58"/>
      <c r="D33" s="41"/>
      <c r="E33" s="58"/>
      <c r="F33" s="41"/>
    </row>
    <row r="34" spans="1:6" ht="12.75" customHeight="1" thickBot="1" x14ac:dyDescent="0.25">
      <c r="A34" s="42" t="s">
        <v>22</v>
      </c>
      <c r="B34" s="51">
        <f>IF(D_test=2000,0.87,0.89)</f>
        <v>0.87</v>
      </c>
      <c r="C34" s="59"/>
      <c r="D34" s="60"/>
      <c r="E34" s="59"/>
      <c r="F34" s="43"/>
    </row>
  </sheetData>
  <mergeCells count="3">
    <mergeCell ref="A8:F8"/>
    <mergeCell ref="C9:D9"/>
    <mergeCell ref="E9:F9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36"/>
  </sheetPr>
  <dimension ref="B2:R40"/>
  <sheetViews>
    <sheetView showGridLines="0" zoomScaleNormal="100" workbookViewId="0">
      <selection activeCell="N9" sqref="N9"/>
    </sheetView>
  </sheetViews>
  <sheetFormatPr baseColWidth="10" defaultRowHeight="12.75" x14ac:dyDescent="0.2"/>
  <cols>
    <col min="2" max="2" width="18.140625" customWidth="1"/>
    <col min="3" max="11" width="10.7109375" customWidth="1"/>
  </cols>
  <sheetData>
    <row r="2" spans="2:18" s="63" customFormat="1" ht="36" customHeight="1" x14ac:dyDescent="0.5">
      <c r="B2" s="303" t="s">
        <v>201</v>
      </c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</row>
    <row r="7" spans="2:18" ht="29.25" customHeight="1" x14ac:dyDescent="0.25">
      <c r="B7" s="213"/>
      <c r="C7" s="213"/>
      <c r="D7" s="214" t="s">
        <v>236</v>
      </c>
      <c r="E7" s="224">
        <v>19.5</v>
      </c>
      <c r="F7" s="153" t="s">
        <v>237</v>
      </c>
      <c r="G7" s="1"/>
      <c r="H7" s="1"/>
      <c r="I7" s="1"/>
      <c r="J7" s="1"/>
      <c r="K7" s="1"/>
    </row>
    <row r="8" spans="2:18" ht="15.75" x14ac:dyDescent="0.25">
      <c r="B8" s="13"/>
      <c r="C8" s="22"/>
      <c r="D8" s="23"/>
      <c r="E8" s="24"/>
      <c r="F8" s="13"/>
      <c r="G8" s="13"/>
      <c r="H8" s="13"/>
      <c r="I8" s="13"/>
      <c r="J8" s="13"/>
      <c r="K8" s="13"/>
    </row>
    <row r="9" spans="2:18" ht="20.25" x14ac:dyDescent="0.2">
      <c r="B9" s="250" t="s">
        <v>169</v>
      </c>
      <c r="C9" s="344" t="s">
        <v>6</v>
      </c>
      <c r="D9" s="345"/>
      <c r="E9" s="345"/>
      <c r="F9" s="345"/>
      <c r="G9" s="345"/>
      <c r="H9" s="345"/>
      <c r="I9" s="345"/>
      <c r="J9" s="345"/>
      <c r="K9" s="346"/>
    </row>
    <row r="10" spans="2:18" ht="18" x14ac:dyDescent="0.2">
      <c r="B10" s="251" t="s">
        <v>170</v>
      </c>
      <c r="C10" s="347" t="s">
        <v>7</v>
      </c>
      <c r="D10" s="348"/>
      <c r="E10" s="348"/>
      <c r="F10" s="348"/>
      <c r="G10" s="348"/>
      <c r="H10" s="348"/>
      <c r="I10" s="348"/>
      <c r="J10" s="348"/>
      <c r="K10" s="349"/>
      <c r="M10" s="33"/>
    </row>
    <row r="11" spans="2:18" ht="24.75" customHeight="1" x14ac:dyDescent="0.2">
      <c r="B11" s="252" t="s">
        <v>5</v>
      </c>
      <c r="C11" s="255">
        <v>100</v>
      </c>
      <c r="D11" s="255">
        <v>200</v>
      </c>
      <c r="E11" s="255">
        <v>400</v>
      </c>
      <c r="F11" s="255">
        <v>600</v>
      </c>
      <c r="G11" s="255">
        <v>800</v>
      </c>
      <c r="H11" s="255">
        <v>1000</v>
      </c>
      <c r="I11" s="255">
        <v>1500</v>
      </c>
      <c r="J11" s="255">
        <v>2000</v>
      </c>
      <c r="K11" s="223">
        <v>3000</v>
      </c>
      <c r="L11" s="25"/>
    </row>
    <row r="12" spans="2:18" ht="21.95" customHeight="1" x14ac:dyDescent="0.2">
      <c r="B12" s="253">
        <v>0.85</v>
      </c>
      <c r="C12" s="221">
        <f>((100*0.04167)/(E7*10*B12))</f>
        <v>2.5140271493212667E-2</v>
      </c>
      <c r="D12" s="221">
        <f>((200*0.04167)/(E7*10*B12))</f>
        <v>5.0280542986425335E-2</v>
      </c>
      <c r="E12" s="221">
        <f>((400*0.04167)/(E7*10*B12))</f>
        <v>0.10056108597285067</v>
      </c>
      <c r="F12" s="221">
        <f>((600*0.04167)/(E7*10*B12))</f>
        <v>0.15084162895927603</v>
      </c>
      <c r="G12" s="221">
        <f>((800*0.04167)/(E7*10*B12))</f>
        <v>0.20112217194570134</v>
      </c>
      <c r="H12" s="221">
        <f>((1000*0.04167)/(E7*10*B12))</f>
        <v>0.25140271493212668</v>
      </c>
      <c r="I12" s="221">
        <f>((1500*0.04167)/(E7*10*B12))</f>
        <v>0.37710407239818999</v>
      </c>
      <c r="J12" s="221">
        <f>((2000*0.04167)/(E7*10*B12))</f>
        <v>0.50280542986425336</v>
      </c>
      <c r="K12" s="222">
        <f>((3000*0.04167)/(E7*10*B12))</f>
        <v>0.75420814479637999</v>
      </c>
    </row>
    <row r="13" spans="2:18" ht="21.95" customHeight="1" x14ac:dyDescent="0.2">
      <c r="B13" s="253">
        <v>0.9</v>
      </c>
      <c r="C13" s="217">
        <f>((100*0.04167)/(E7*10*B13))</f>
        <v>2.3743589743589741E-2</v>
      </c>
      <c r="D13" s="217">
        <f>((200*0.04167)/(E7*10*B13))</f>
        <v>4.7487179487179482E-2</v>
      </c>
      <c r="E13" s="217">
        <f>((400*0.04167)/(E7*10*B13))</f>
        <v>9.4974358974358963E-2</v>
      </c>
      <c r="F13" s="217">
        <f>((600*0.04167)/(E7*10*B13))</f>
        <v>0.14246153846153845</v>
      </c>
      <c r="G13" s="217">
        <f>((800*0.04167)/(E7*10*B13))</f>
        <v>0.18994871794871793</v>
      </c>
      <c r="H13" s="217">
        <f>((1000*0.04167)/(E7*10*B13))</f>
        <v>0.23743589743589744</v>
      </c>
      <c r="I13" s="217">
        <f>((1500*0.04167)/(E7*10*B13))</f>
        <v>0.35615384615384615</v>
      </c>
      <c r="J13" s="217">
        <f>((2000*0.04167)/(E7*10*B13))</f>
        <v>0.47487179487179487</v>
      </c>
      <c r="K13" s="216">
        <f>((3000*0.04167)/(E7*10*B13))</f>
        <v>0.71230769230769231</v>
      </c>
    </row>
    <row r="14" spans="2:18" ht="21.95" customHeight="1" x14ac:dyDescent="0.2">
      <c r="B14" s="253">
        <v>0.95</v>
      </c>
      <c r="C14" s="217">
        <f>((100*0.04167)/(E7*10*B14))</f>
        <v>2.2493927125506071E-2</v>
      </c>
      <c r="D14" s="217">
        <f>((200*0.04167)/(E7*10*B14))</f>
        <v>4.4987854251012142E-2</v>
      </c>
      <c r="E14" s="217">
        <f>((400*0.04167)/(E7*10*B14))</f>
        <v>8.9975708502024285E-2</v>
      </c>
      <c r="F14" s="217">
        <f>((600*0.04167)/(E7*10*B14))</f>
        <v>0.13496356275303642</v>
      </c>
      <c r="G14" s="217">
        <f>((800*0.04167)/(E7*10*B14))</f>
        <v>0.17995141700404857</v>
      </c>
      <c r="H14" s="217">
        <f>((1000*0.04167)/(E7*10*B14))</f>
        <v>0.22493927125506075</v>
      </c>
      <c r="I14" s="217">
        <f>((1500*0.04167)/(E7*10*B14))</f>
        <v>0.33740890688259106</v>
      </c>
      <c r="J14" s="217">
        <f>((2000*0.04167)/(E7*10*B14))</f>
        <v>0.44987854251012149</v>
      </c>
      <c r="K14" s="216">
        <f>((3000*0.04167)/(E7*10*B14))</f>
        <v>0.67481781376518213</v>
      </c>
    </row>
    <row r="15" spans="2:18" ht="21.95" customHeight="1" x14ac:dyDescent="0.2">
      <c r="B15" s="253">
        <v>1</v>
      </c>
      <c r="C15" s="217">
        <f>((100*0.04167)/(E7*10*B15))</f>
        <v>2.1369230769230769E-2</v>
      </c>
      <c r="D15" s="217">
        <f>((200*0.04167)/(E7*10*B15))</f>
        <v>4.2738461538461538E-2</v>
      </c>
      <c r="E15" s="217">
        <f>((400*0.04167)/(E7*10*B15))</f>
        <v>8.5476923076923075E-2</v>
      </c>
      <c r="F15" s="217">
        <f>((600*0.04167)/(E7*10*B15))</f>
        <v>0.12821538461538462</v>
      </c>
      <c r="G15" s="217">
        <f>((800*0.04167)/(E7*10*B15))</f>
        <v>0.17095384615384615</v>
      </c>
      <c r="H15" s="217">
        <f>((1000*0.04167)/(E7*10*B15))</f>
        <v>0.21369230769230771</v>
      </c>
      <c r="I15" s="217">
        <f>((1500*0.04167)/(E7*10*B15))</f>
        <v>0.32053846153846149</v>
      </c>
      <c r="J15" s="217">
        <f>((2000*0.04167)/(E7*10*B15))</f>
        <v>0.42738461538461542</v>
      </c>
      <c r="K15" s="216">
        <f>((3000*0.04167)/(E7*10*B15))</f>
        <v>0.64107692307692299</v>
      </c>
      <c r="M15" s="88"/>
    </row>
    <row r="16" spans="2:18" ht="21.95" customHeight="1" x14ac:dyDescent="0.2">
      <c r="B16" s="253">
        <v>1.05</v>
      </c>
      <c r="C16" s="217">
        <f>((100*0.04167)/(E7*10*B16))</f>
        <v>2.0351648351648349E-2</v>
      </c>
      <c r="D16" s="217">
        <f>((200*0.04167)/(E7*10*B16))</f>
        <v>4.0703296703296699E-2</v>
      </c>
      <c r="E16" s="217">
        <f>((400*0.04167)/(E7*10*B16))</f>
        <v>8.1406593406593397E-2</v>
      </c>
      <c r="F16" s="217">
        <f>((600*0.04167)/(E7*10*B16))</f>
        <v>0.12210989010989011</v>
      </c>
      <c r="G16" s="217">
        <f>((800*0.04167)/(E7*10*B16))</f>
        <v>0.16281318681318679</v>
      </c>
      <c r="H16" s="217">
        <f>((1000*0.04167)/(E7*10*B16))</f>
        <v>0.20351648351648352</v>
      </c>
      <c r="I16" s="217">
        <f>((1500*0.04167)/(E7*10*B16))</f>
        <v>0.30527472527472527</v>
      </c>
      <c r="J16" s="217">
        <f>((2000*0.04167)/(E7*10*B16))</f>
        <v>0.40703296703296704</v>
      </c>
      <c r="K16" s="216">
        <f>((3000*0.04167)/(E7*10*B16))</f>
        <v>0.61054945054945053</v>
      </c>
    </row>
    <row r="17" spans="2:11" ht="21.95" customHeight="1" x14ac:dyDescent="0.2">
      <c r="B17" s="254">
        <v>1.2</v>
      </c>
      <c r="C17" s="218">
        <f>((100*0.04167)/(E7*10*B17))</f>
        <v>1.7807692307692306E-2</v>
      </c>
      <c r="D17" s="218">
        <f>((200*0.04167)/(E7*10*B17))</f>
        <v>3.5615384615384611E-2</v>
      </c>
      <c r="E17" s="218">
        <f>((400*0.04167)/(E7*10*B17))</f>
        <v>7.1230769230769223E-2</v>
      </c>
      <c r="F17" s="218">
        <f>((600*0.04167)/(E7*10*B17))</f>
        <v>0.10684615384615384</v>
      </c>
      <c r="G17" s="218">
        <f>((800*0.04167)/(E7*10*B17))</f>
        <v>0.14246153846153845</v>
      </c>
      <c r="H17" s="218">
        <f>((1000*0.04167)/(E7*10*B17))</f>
        <v>0.17807692307692308</v>
      </c>
      <c r="I17" s="218">
        <f>((1500*0.04167)/(E7*10*B17))</f>
        <v>0.26711538461538459</v>
      </c>
      <c r="J17" s="218">
        <f>((2000*0.04167)/(E7*10*B17))</f>
        <v>0.35615384615384615</v>
      </c>
      <c r="K17" s="215">
        <f>((3000*0.04167)/(E7*10*B17))</f>
        <v>0.53423076923076918</v>
      </c>
    </row>
    <row r="18" spans="2:11" s="1" customFormat="1" ht="18.95" customHeight="1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3"/>
    </row>
    <row r="19" spans="2:11" ht="21.95" customHeight="1" thickBot="1" x14ac:dyDescent="0.3">
      <c r="B19" s="354" t="s">
        <v>8</v>
      </c>
      <c r="C19" s="355"/>
      <c r="D19" s="355"/>
      <c r="E19" s="355"/>
      <c r="F19" s="355"/>
      <c r="G19" s="355"/>
      <c r="H19" s="355"/>
      <c r="I19" s="13"/>
      <c r="J19" s="1"/>
      <c r="K19" s="1"/>
    </row>
    <row r="20" spans="2:11" ht="21.95" customHeight="1" thickBot="1" x14ac:dyDescent="0.35">
      <c r="B20" s="232" t="s">
        <v>9</v>
      </c>
      <c r="C20" s="151">
        <v>114</v>
      </c>
      <c r="D20" s="225"/>
      <c r="E20" s="226"/>
      <c r="F20" s="229"/>
      <c r="G20" s="229"/>
      <c r="H20" s="230"/>
      <c r="I20" s="13"/>
      <c r="J20" s="1"/>
      <c r="K20" s="13"/>
    </row>
    <row r="21" spans="2:11" ht="21.95" customHeight="1" x14ac:dyDescent="0.3">
      <c r="B21" s="233" t="s">
        <v>10</v>
      </c>
      <c r="C21" s="152">
        <v>1000</v>
      </c>
      <c r="D21" s="227" t="s">
        <v>11</v>
      </c>
      <c r="E21" s="228"/>
      <c r="F21" s="219" t="s">
        <v>12</v>
      </c>
      <c r="G21" s="220">
        <f>(C21*0.04167)/(E7*10*C20)</f>
        <v>1.8744939271255062E-3</v>
      </c>
      <c r="H21" s="231"/>
      <c r="I21" s="13"/>
      <c r="J21" s="1"/>
      <c r="K21" s="1"/>
    </row>
    <row r="22" spans="2:11" s="1" customFormat="1" ht="15.75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1" x14ac:dyDescent="0.2">
      <c r="B23" s="350"/>
      <c r="C23" s="26"/>
      <c r="D23" s="351"/>
      <c r="E23" s="351"/>
      <c r="F23" s="352"/>
      <c r="G23" s="352"/>
      <c r="H23" s="351"/>
      <c r="I23" s="351"/>
      <c r="J23" s="351"/>
      <c r="K23" s="353"/>
    </row>
    <row r="24" spans="2:11" x14ac:dyDescent="0.2">
      <c r="B24" s="350"/>
      <c r="C24" s="26"/>
      <c r="D24" s="351"/>
      <c r="E24" s="351"/>
      <c r="F24" s="352"/>
      <c r="G24" s="352"/>
      <c r="H24" s="351"/>
      <c r="I24" s="351"/>
      <c r="J24" s="351"/>
      <c r="K24" s="353"/>
    </row>
    <row r="25" spans="2:11" x14ac:dyDescent="0.2">
      <c r="B25" s="340"/>
      <c r="C25" s="339"/>
      <c r="D25" s="343"/>
      <c r="E25" s="343"/>
      <c r="F25" s="339"/>
      <c r="G25" s="339"/>
      <c r="H25" s="339"/>
      <c r="I25" s="339"/>
      <c r="J25" s="339"/>
      <c r="K25" s="339"/>
    </row>
    <row r="26" spans="2:11" x14ac:dyDescent="0.2">
      <c r="B26" s="340"/>
      <c r="C26" s="339"/>
      <c r="D26" s="343"/>
      <c r="E26" s="343"/>
      <c r="F26" s="339"/>
      <c r="G26" s="339"/>
      <c r="H26" s="28"/>
      <c r="I26" s="29"/>
      <c r="J26" s="28"/>
      <c r="K26" s="339"/>
    </row>
    <row r="27" spans="2:11" ht="13.5" x14ac:dyDescent="0.2">
      <c r="B27" s="27"/>
      <c r="C27" s="28"/>
      <c r="D27" s="339"/>
      <c r="E27" s="339"/>
      <c r="F27" s="339"/>
      <c r="G27" s="339"/>
      <c r="H27" s="339"/>
      <c r="I27" s="339"/>
      <c r="J27" s="339"/>
      <c r="K27" s="28"/>
    </row>
    <row r="28" spans="2:11" ht="13.5" x14ac:dyDescent="0.2">
      <c r="B28" s="27"/>
      <c r="C28" s="28"/>
      <c r="D28" s="343"/>
      <c r="E28" s="343"/>
      <c r="F28" s="343"/>
      <c r="G28" s="343"/>
      <c r="H28" s="339"/>
      <c r="I28" s="339"/>
      <c r="J28" s="339"/>
      <c r="K28" s="28"/>
    </row>
    <row r="29" spans="2:11" ht="13.5" x14ac:dyDescent="0.2">
      <c r="B29" s="27"/>
      <c r="C29" s="28"/>
      <c r="D29" s="339"/>
      <c r="E29" s="339"/>
      <c r="F29" s="339"/>
      <c r="G29" s="339"/>
      <c r="H29" s="339"/>
      <c r="I29" s="339"/>
      <c r="J29" s="339"/>
      <c r="K29" s="28"/>
    </row>
    <row r="30" spans="2:11" ht="13.5" x14ac:dyDescent="0.2">
      <c r="B30" s="27"/>
      <c r="C30" s="28"/>
      <c r="D30" s="339"/>
      <c r="E30" s="339"/>
      <c r="F30" s="339"/>
      <c r="G30" s="339"/>
      <c r="H30" s="339"/>
      <c r="I30" s="339"/>
      <c r="J30" s="339"/>
      <c r="K30" s="28"/>
    </row>
    <row r="31" spans="2:11" x14ac:dyDescent="0.2">
      <c r="B31" s="340"/>
      <c r="C31" s="339"/>
      <c r="D31" s="339"/>
      <c r="E31" s="339"/>
      <c r="F31" s="339"/>
      <c r="G31" s="339"/>
      <c r="H31" s="339"/>
      <c r="I31" s="339"/>
      <c r="J31" s="339"/>
      <c r="K31" s="339"/>
    </row>
    <row r="32" spans="2:11" x14ac:dyDescent="0.2">
      <c r="B32" s="340"/>
      <c r="C32" s="339"/>
      <c r="D32" s="339"/>
      <c r="E32" s="339"/>
      <c r="F32" s="28"/>
      <c r="G32" s="28"/>
      <c r="H32" s="28"/>
      <c r="I32" s="28"/>
      <c r="J32" s="28"/>
      <c r="K32" s="339"/>
    </row>
    <row r="33" spans="2:11" x14ac:dyDescent="0.2">
      <c r="B33" s="340"/>
      <c r="C33" s="339"/>
      <c r="D33" s="339"/>
      <c r="E33" s="339"/>
      <c r="F33" s="339"/>
      <c r="G33" s="339"/>
      <c r="H33" s="339"/>
      <c r="I33" s="339"/>
      <c r="J33" s="339"/>
      <c r="K33" s="339"/>
    </row>
    <row r="34" spans="2:11" x14ac:dyDescent="0.2">
      <c r="B34" s="340"/>
      <c r="C34" s="339"/>
      <c r="D34" s="28"/>
      <c r="E34" s="28"/>
      <c r="F34" s="339"/>
      <c r="G34" s="339"/>
      <c r="H34" s="339"/>
      <c r="I34" s="339"/>
      <c r="J34" s="339"/>
      <c r="K34" s="339"/>
    </row>
    <row r="35" spans="2:11" ht="13.5" x14ac:dyDescent="0.2">
      <c r="B35" s="27"/>
      <c r="C35" s="28"/>
      <c r="D35" s="338"/>
      <c r="E35" s="338"/>
      <c r="F35" s="339"/>
      <c r="G35" s="339"/>
      <c r="H35" s="339"/>
      <c r="I35" s="339"/>
      <c r="J35" s="339"/>
      <c r="K35" s="28"/>
    </row>
    <row r="36" spans="2:11" x14ac:dyDescent="0.2">
      <c r="B36" s="340"/>
      <c r="C36" s="339"/>
      <c r="D36" s="339"/>
      <c r="E36" s="339"/>
      <c r="F36" s="339"/>
      <c r="G36" s="339"/>
      <c r="H36" s="339"/>
      <c r="I36" s="339"/>
      <c r="J36" s="339"/>
      <c r="K36" s="30"/>
    </row>
    <row r="37" spans="2:11" x14ac:dyDescent="0.2">
      <c r="B37" s="340"/>
      <c r="C37" s="339"/>
      <c r="D37" s="339"/>
      <c r="E37" s="339"/>
      <c r="F37" s="339"/>
      <c r="G37" s="339"/>
      <c r="H37" s="339"/>
      <c r="I37" s="339"/>
      <c r="J37" s="339"/>
      <c r="K37" s="30"/>
    </row>
    <row r="38" spans="2:11" ht="21.6" customHeight="1" x14ac:dyDescent="0.2">
      <c r="B38" s="31"/>
      <c r="C38" s="341"/>
      <c r="D38" s="342"/>
      <c r="E38" s="342"/>
      <c r="F38" s="342"/>
      <c r="G38" s="342"/>
      <c r="H38" s="342"/>
      <c r="I38" s="342"/>
      <c r="J38" s="342"/>
      <c r="K38" s="32"/>
    </row>
    <row r="39" spans="2:11" ht="15.75" x14ac:dyDescent="0.25">
      <c r="B39" s="337"/>
      <c r="C39" s="337"/>
      <c r="D39" s="337"/>
      <c r="E39" s="337"/>
      <c r="F39" s="337"/>
      <c r="G39" s="337"/>
      <c r="H39" s="337"/>
      <c r="I39" s="337"/>
      <c r="J39" s="337"/>
      <c r="K39" s="337"/>
    </row>
    <row r="40" spans="2:11" ht="15.75" x14ac:dyDescent="0.25">
      <c r="B40" s="337"/>
      <c r="C40" s="337"/>
      <c r="D40" s="337"/>
      <c r="E40" s="337"/>
      <c r="F40" s="337"/>
      <c r="G40" s="337"/>
      <c r="H40" s="337"/>
      <c r="I40" s="337"/>
      <c r="J40" s="337"/>
      <c r="K40" s="337"/>
    </row>
  </sheetData>
  <sheetProtection password="F7AF" sheet="1" objects="1" scenarios="1"/>
  <mergeCells count="53">
    <mergeCell ref="H27:J27"/>
    <mergeCell ref="B25:B26"/>
    <mergeCell ref="C25:C26"/>
    <mergeCell ref="D25:E26"/>
    <mergeCell ref="F25:G26"/>
    <mergeCell ref="H25:J25"/>
    <mergeCell ref="C9:K9"/>
    <mergeCell ref="C10:K10"/>
    <mergeCell ref="B23:B24"/>
    <mergeCell ref="D23:E24"/>
    <mergeCell ref="F23:G23"/>
    <mergeCell ref="H23:J24"/>
    <mergeCell ref="K23:K24"/>
    <mergeCell ref="F24:G24"/>
    <mergeCell ref="B19:H19"/>
    <mergeCell ref="B31:B32"/>
    <mergeCell ref="C31:C32"/>
    <mergeCell ref="D31:E32"/>
    <mergeCell ref="F31:G31"/>
    <mergeCell ref="K25:K26"/>
    <mergeCell ref="D30:E30"/>
    <mergeCell ref="F30:G30"/>
    <mergeCell ref="D28:E28"/>
    <mergeCell ref="F28:G28"/>
    <mergeCell ref="H28:J28"/>
    <mergeCell ref="D29:E29"/>
    <mergeCell ref="F29:G29"/>
    <mergeCell ref="H29:J29"/>
    <mergeCell ref="H30:J30"/>
    <mergeCell ref="D27:E27"/>
    <mergeCell ref="F27:G27"/>
    <mergeCell ref="F37:G37"/>
    <mergeCell ref="H37:J37"/>
    <mergeCell ref="B33:B34"/>
    <mergeCell ref="C33:C34"/>
    <mergeCell ref="D33:E33"/>
    <mergeCell ref="F33:G34"/>
    <mergeCell ref="B2:R2"/>
    <mergeCell ref="B39:K39"/>
    <mergeCell ref="B40:K40"/>
    <mergeCell ref="D35:E35"/>
    <mergeCell ref="F35:G35"/>
    <mergeCell ref="H35:J35"/>
    <mergeCell ref="B36:B37"/>
    <mergeCell ref="C36:E36"/>
    <mergeCell ref="F36:G36"/>
    <mergeCell ref="H36:J36"/>
    <mergeCell ref="K31:K32"/>
    <mergeCell ref="H33:J34"/>
    <mergeCell ref="K33:K34"/>
    <mergeCell ref="C38:J38"/>
    <mergeCell ref="H31:J31"/>
    <mergeCell ref="C37:E37"/>
  </mergeCells>
  <phoneticPr fontId="0" type="noConversion"/>
  <printOptions horizontalCentered="1" verticalCentered="1"/>
  <pageMargins left="0.59055118110236227" right="0.59055118110236227" top="0.78740157480314965" bottom="0.78740157480314965" header="0.51181102362204722" footer="0.51181102362204722"/>
  <pageSetup paperSize="9" firstPageNumber="0" orientation="landscape" cellComments="asDisplayed" horizontalDpi="300" verticalDpi="300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86</vt:i4>
      </vt:variant>
    </vt:vector>
  </HeadingPairs>
  <TitlesOfParts>
    <vt:vector size="93" baseType="lpstr">
      <vt:lpstr>Accueil</vt:lpstr>
      <vt:lpstr>Etalonnage</vt:lpstr>
      <vt:lpstr>20 Km 5 ent.</vt:lpstr>
      <vt:lpstr>20 Km 4 ent.</vt:lpstr>
      <vt:lpstr>20 Km 3 ent.</vt:lpstr>
      <vt:lpstr>constantes</vt:lpstr>
      <vt:lpstr>VMA</vt:lpstr>
      <vt:lpstr>_vo2</vt:lpstr>
      <vt:lpstr>al_marathon</vt:lpstr>
      <vt:lpstr>al_semi</vt:lpstr>
      <vt:lpstr>allure_vma</vt:lpstr>
      <vt:lpstr>allure_vma_sec</vt:lpstr>
      <vt:lpstr>cat_km</vt:lpstr>
      <vt:lpstr>cat_kmh</vt:lpstr>
      <vt:lpstr>cat_object</vt:lpstr>
      <vt:lpstr>cat_sec</vt:lpstr>
      <vt:lpstr>cat_test_3</vt:lpstr>
      <vt:lpstr>cat_vitesse</vt:lpstr>
      <vt:lpstr>D_test</vt:lpstr>
      <vt:lpstr>dist_marathon</vt:lpstr>
      <vt:lpstr>dist_semi</vt:lpstr>
      <vt:lpstr>dist_vma</vt:lpstr>
      <vt:lpstr>dist_vma_min</vt:lpstr>
      <vt:lpstr>endurance</vt:lpstr>
      <vt:lpstr>facile</vt:lpstr>
      <vt:lpstr>fc_100</vt:lpstr>
      <vt:lpstr>fc_1200</vt:lpstr>
      <vt:lpstr>fc_200</vt:lpstr>
      <vt:lpstr>fc_300</vt:lpstr>
      <vt:lpstr>fc_3000</vt:lpstr>
      <vt:lpstr>fc_400</vt:lpstr>
      <vt:lpstr>fc_500</vt:lpstr>
      <vt:lpstr>fc_700</vt:lpstr>
      <vt:lpstr>fc_800</vt:lpstr>
      <vt:lpstr>fc_ana</vt:lpstr>
      <vt:lpstr>fc_competition</vt:lpstr>
      <vt:lpstr>fc_marathon</vt:lpstr>
      <vt:lpstr>fc_max</vt:lpstr>
      <vt:lpstr>fc_repos</vt:lpstr>
      <vt:lpstr>fc_semi</vt:lpstr>
      <vt:lpstr>fc_x</vt:lpstr>
      <vt:lpstr>ind_vma</vt:lpstr>
      <vt:lpstr>k_10</vt:lpstr>
      <vt:lpstr>k_aero</vt:lpstr>
      <vt:lpstr>k_anaero</vt:lpstr>
      <vt:lpstr>K_facile</vt:lpstr>
      <vt:lpstr>k_marat</vt:lpstr>
      <vt:lpstr>k_recup</vt:lpstr>
      <vt:lpstr>k_semi</vt:lpstr>
      <vt:lpstr>k_semi_2</vt:lpstr>
      <vt:lpstr>K_test</vt:lpstr>
      <vt:lpstr>k_vma</vt:lpstr>
      <vt:lpstr>marathon</vt:lpstr>
      <vt:lpstr>mdate</vt:lpstr>
      <vt:lpstr>objectif</vt:lpstr>
      <vt:lpstr>R_100</vt:lpstr>
      <vt:lpstr>R_1000</vt:lpstr>
      <vt:lpstr>R_200</vt:lpstr>
      <vt:lpstr>R_300</vt:lpstr>
      <vt:lpstr>R_400</vt:lpstr>
      <vt:lpstr>R_500</vt:lpstr>
      <vt:lpstr>rapport</vt:lpstr>
      <vt:lpstr>recup</vt:lpstr>
      <vt:lpstr>'20 Km 3 ent.'!serie_100</vt:lpstr>
      <vt:lpstr>'20 Km 5 ent.'!serie_100</vt:lpstr>
      <vt:lpstr>serie_100</vt:lpstr>
      <vt:lpstr>seuil</vt:lpstr>
      <vt:lpstr>seuil_ana</vt:lpstr>
      <vt:lpstr>seuil_ana_obj</vt:lpstr>
      <vt:lpstr>T_100</vt:lpstr>
      <vt:lpstr>T_1000</vt:lpstr>
      <vt:lpstr>T_10k</vt:lpstr>
      <vt:lpstr>T_200</vt:lpstr>
      <vt:lpstr>T_300</vt:lpstr>
      <vt:lpstr>t_3000</vt:lpstr>
      <vt:lpstr>T_400</vt:lpstr>
      <vt:lpstr>t_4000</vt:lpstr>
      <vt:lpstr>T_500</vt:lpstr>
      <vt:lpstr>T_semi</vt:lpstr>
      <vt:lpstr>t_th_marathon</vt:lpstr>
      <vt:lpstr>t_x</vt:lpstr>
      <vt:lpstr>VMA!TABLE</vt:lpstr>
      <vt:lpstr>VMA!TABLE_2</vt:lpstr>
      <vt:lpstr>VMA!TABLE_3</vt:lpstr>
      <vt:lpstr>VMA!TABLE_4</vt:lpstr>
      <vt:lpstr>VMA!TABLE_5</vt:lpstr>
      <vt:lpstr>theo_marathon</vt:lpstr>
      <vt:lpstr>v_vma</vt:lpstr>
      <vt:lpstr>v_vma_obj_kmh</vt:lpstr>
      <vt:lpstr>vma_1000_obj</vt:lpstr>
      <vt:lpstr>VMA_kmh</vt:lpstr>
      <vt:lpstr>vma_obj_km</vt:lpstr>
      <vt:lpstr>z_travail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Préparation 10 KM</dc:title>
  <dc:subject>Logiciel Zatopek.be</dc:subject>
  <dc:creator>Roger IGO</dc:creator>
  <cp:lastModifiedBy>naim.schneyders</cp:lastModifiedBy>
  <cp:revision>1</cp:revision>
  <cp:lastPrinted>2013-10-08T15:03:28Z</cp:lastPrinted>
  <dcterms:created xsi:type="dcterms:W3CDTF">2002-01-09T20:52:19Z</dcterms:created>
  <dcterms:modified xsi:type="dcterms:W3CDTF">2013-10-16T14:37:43Z</dcterms:modified>
</cp:coreProperties>
</file>