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workbookProtection workbookPassword="F7AF" lockStructure="1"/>
  <bookViews>
    <workbookView xWindow="2895" yWindow="825" windowWidth="14520" windowHeight="9000" tabRatio="629"/>
  </bookViews>
  <sheets>
    <sheet name="Accueil" sheetId="8" r:id="rId1"/>
    <sheet name="Etalonnage" sheetId="1" r:id="rId2"/>
    <sheet name="10 Km 5 ent." sheetId="11" r:id="rId3"/>
    <sheet name="10 Km 4 ent." sheetId="2" r:id="rId4"/>
    <sheet name="10 Km 3 ent." sheetId="10" r:id="rId5"/>
    <sheet name="constantes" sheetId="7" r:id="rId6"/>
    <sheet name="VMA" sheetId="12" r:id="rId7"/>
  </sheets>
  <externalReferences>
    <externalReference r:id="rId8"/>
    <externalReference r:id="rId9"/>
  </externalReferences>
  <definedNames>
    <definedName name="_60__Endurance_facile">#REF!</definedName>
    <definedName name="_sem12">#REF!</definedName>
    <definedName name="_vo2">Etalonnage!$C$16</definedName>
    <definedName name="al_marathon">Etalonnage!$F$19</definedName>
    <definedName name="al_semi">constantes!$E$27</definedName>
    <definedName name="allure_vma">Etalonnage!$C$20</definedName>
    <definedName name="allure_vma_sec">Etalonnage!$C$22</definedName>
    <definedName name="C3.1">#REF!</definedName>
    <definedName name="C3.2">#REF!</definedName>
    <definedName name="cat_km">Etalonnage!$C$12</definedName>
    <definedName name="cat_kmh">Etalonnage!$C$15</definedName>
    <definedName name="cat_object">Etalonnage!$F$13</definedName>
    <definedName name="cat_sec">Etalonnage!$C$13</definedName>
    <definedName name="cat_test_3">Etalonnage!$C$11</definedName>
    <definedName name="cat_vitesse">Etalonnage!$C$14</definedName>
    <definedName name="D_test">Etalonnage!$C$10</definedName>
    <definedName name="date_10" localSheetId="6">[1]Etalonnage!#REF!</definedName>
    <definedName name="date_10">Etalonnage!#REF!</definedName>
    <definedName name="dist_marathon">constantes!$C$30</definedName>
    <definedName name="dist_semi">constantes!$C$31</definedName>
    <definedName name="dist_vma">Etalonnage!$C$19</definedName>
    <definedName name="dist_vma_min">constantes!$C$29</definedName>
    <definedName name="endurance" localSheetId="6">[1]Etalonnage!#REF!</definedName>
    <definedName name="endurance">Etalonnage!#REF!</definedName>
    <definedName name="facile">constantes!$E$28</definedName>
    <definedName name="fc_100">constantes!$E$24</definedName>
    <definedName name="fc_1000">constantes!$C$23</definedName>
    <definedName name="fc_1200">constantes!$C$16</definedName>
    <definedName name="fc_150">constantes!$C$19</definedName>
    <definedName name="fc_200">constantes!$C$11</definedName>
    <definedName name="fc_300">constantes!$C$12</definedName>
    <definedName name="fc_3000">Etalonnage!$D$11</definedName>
    <definedName name="fc_400">constantes!$C$13</definedName>
    <definedName name="fc_500">constantes!$C$14</definedName>
    <definedName name="fc_800">constantes!$C$15</definedName>
    <definedName name="fc_900">constantes!$E$22</definedName>
    <definedName name="fc_ana" localSheetId="6">[1]Etalonnage!#REF!</definedName>
    <definedName name="fc_ana">Etalonnage!#REF!</definedName>
    <definedName name="fc_competition">constantes!$E$16</definedName>
    <definedName name="fc_endur" localSheetId="6">[1]Etalonnage!#REF!</definedName>
    <definedName name="fc_endur">Etalonnage!#REF!</definedName>
    <definedName name="fc_marathon">Etalonnage!$D$24</definedName>
    <definedName name="fc_max">Etalonnage!$D$18</definedName>
    <definedName name="fc_repos">Etalonnage!$D$17</definedName>
    <definedName name="fc_reserve">constantes!$E$30</definedName>
    <definedName name="fc_semi">constantes!$C$17</definedName>
    <definedName name="fc_vma">constantes!$E$17</definedName>
    <definedName name="fc_x">constantes!$E$23</definedName>
    <definedName name="ind_vma">constantes!$C$28</definedName>
    <definedName name="k_10">constantes!$C$27</definedName>
    <definedName name="k_aero">constantes!$C$22</definedName>
    <definedName name="k_anaero">constantes!$C$21</definedName>
    <definedName name="K_facile">constantes!$C$33</definedName>
    <definedName name="k_marat">constantes!$C$25</definedName>
    <definedName name="k_recup">constantes!$C$24</definedName>
    <definedName name="k_semi">constantes!$C$26</definedName>
    <definedName name="K_test">constantes!$C$32</definedName>
    <definedName name="k_vma">constantes!$C$20</definedName>
    <definedName name="marathon">Etalonnage!$F$19</definedName>
    <definedName name="mdate">Etalonnage!$F$11</definedName>
    <definedName name="objectif">Etalonnage!$F$10</definedName>
    <definedName name="Puls">constantes!$E$31</definedName>
    <definedName name="R_100">constantes!$G$10</definedName>
    <definedName name="R_1000">constantes!$G$15</definedName>
    <definedName name="R_200">constantes!$G$11</definedName>
    <definedName name="R_300">constantes!$G$12</definedName>
    <definedName name="R_400">constantes!$G$13</definedName>
    <definedName name="R_500">constantes!$G$14</definedName>
    <definedName name="rapport">constantes!$E$18</definedName>
    <definedName name="recup">Etalonnage!$C$23</definedName>
    <definedName name="serie_100" localSheetId="4">'10 Km 3 ent.'!$H$8</definedName>
    <definedName name="serie_100" localSheetId="2">'10 Km 5 ent.'!$H$8</definedName>
    <definedName name="serie_100">'10 Km 4 ent.'!$H$8</definedName>
    <definedName name="seuil">constantes!$E$29</definedName>
    <definedName name="seuil_aero" localSheetId="6">[1]Etalonnage!#REF!</definedName>
    <definedName name="seuil_aero">Etalonnage!#REF!</definedName>
    <definedName name="seuil_ana" localSheetId="6">[1]Etalonnage!#REF!</definedName>
    <definedName name="seuil_ana">Etalonnage!#REF!</definedName>
    <definedName name="seuil_ana_obj" localSheetId="6">[1]Etalonnage!#REF!</definedName>
    <definedName name="seuil_ana_obj">Etalonnage!#REF!</definedName>
    <definedName name="T_100">constantes!$E$10</definedName>
    <definedName name="T_1000">constantes!$E$15</definedName>
    <definedName name="T_10k">constantes!$E$25</definedName>
    <definedName name="t_200">constantes!$E$11</definedName>
    <definedName name="T_300">constantes!$E$12</definedName>
    <definedName name="t_3000">constantes!$E$19</definedName>
    <definedName name="T_400">constantes!$E$13</definedName>
    <definedName name="t_4000">constantes!$E$20</definedName>
    <definedName name="T_500">constantes!$E$14</definedName>
    <definedName name="T_semi">constantes!$E$26</definedName>
    <definedName name="t_th_marathon">Etalonnage!$C$25</definedName>
    <definedName name="t_th_semi" localSheetId="6">[1]Etalonnage!#REF!</definedName>
    <definedName name="t_th_semi">Etalonnage!#REF!</definedName>
    <definedName name="t_x">constantes!$E$21</definedName>
    <definedName name="TABLE" localSheetId="6">VMA!$H$26:$J$26</definedName>
    <definedName name="TABLE">#REF!</definedName>
    <definedName name="TABLE_2" localSheetId="6">VMA!$F$32:$G$32</definedName>
    <definedName name="TABLE_2">#REF!</definedName>
    <definedName name="TABLE_3" localSheetId="6">VMA!$H$32:$J$32</definedName>
    <definedName name="TABLE_3">#REF!</definedName>
    <definedName name="TABLE_4" localSheetId="6">VMA!$D$34:$E$34</definedName>
    <definedName name="TABLE_4">#REF!</definedName>
    <definedName name="TABLE_5" localSheetId="6">VMA!$B$23:$K$38</definedName>
    <definedName name="TABLE_5">#REF!</definedName>
    <definedName name="theo_marathon">Etalonnage!$C$24</definedName>
    <definedName name="v_vma">Etalonnage!$F$16</definedName>
    <definedName name="v_vma_obj_kmh">Etalonnage!$F$17</definedName>
    <definedName name="vma_10" localSheetId="6">[2]constantes!#REF!</definedName>
    <definedName name="vma_10">constantes!#REF!</definedName>
    <definedName name="vma_100" localSheetId="6">[2]constantes!#REF!</definedName>
    <definedName name="vma_100">constantes!#REF!</definedName>
    <definedName name="vma_1000_obj">Etalonnage!$F$15</definedName>
    <definedName name="vma_200" localSheetId="6">[2]constantes!#REF!</definedName>
    <definedName name="vma_200">constantes!#REF!</definedName>
    <definedName name="VMA_kmh">Etalonnage!$C$21</definedName>
    <definedName name="vma_obj_km">Etalonnage!$F$14</definedName>
    <definedName name="z_travail">constantes!$C$18</definedName>
  </definedNames>
  <calcPr calcId="145621"/>
</workbook>
</file>

<file path=xl/calcChain.xml><?xml version="1.0" encoding="utf-8"?>
<calcChain xmlns="http://schemas.openxmlformats.org/spreadsheetml/2006/main">
  <c r="F19" i="1" l="1"/>
  <c r="D30" i="2"/>
  <c r="C32" i="7"/>
  <c r="C24" i="1"/>
  <c r="C13" i="1"/>
  <c r="C14" i="1"/>
  <c r="C18" i="7"/>
  <c r="E31" i="7"/>
  <c r="F14" i="1"/>
  <c r="H34" i="11"/>
  <c r="C12" i="12"/>
  <c r="D12" i="12"/>
  <c r="E12" i="12"/>
  <c r="F12" i="12"/>
  <c r="G12" i="12"/>
  <c r="H12" i="12"/>
  <c r="I12" i="12"/>
  <c r="J12" i="12"/>
  <c r="K12" i="12"/>
  <c r="C13" i="12"/>
  <c r="D13" i="12"/>
  <c r="E13" i="12"/>
  <c r="F13" i="12"/>
  <c r="G13" i="12"/>
  <c r="H13" i="12"/>
  <c r="I13" i="12"/>
  <c r="J13" i="12"/>
  <c r="K13" i="12"/>
  <c r="C14" i="12"/>
  <c r="D14" i="12"/>
  <c r="E14" i="12"/>
  <c r="F14" i="12"/>
  <c r="G14" i="12"/>
  <c r="H14" i="12"/>
  <c r="I14" i="12"/>
  <c r="J14" i="12"/>
  <c r="K14" i="12"/>
  <c r="C15" i="12"/>
  <c r="D15" i="12"/>
  <c r="E15" i="12"/>
  <c r="F15" i="12"/>
  <c r="G15" i="12"/>
  <c r="H15" i="12"/>
  <c r="I15" i="12"/>
  <c r="J15" i="12"/>
  <c r="K15" i="12"/>
  <c r="C16" i="12"/>
  <c r="D16" i="12"/>
  <c r="E16" i="12"/>
  <c r="F16" i="12"/>
  <c r="G16" i="12"/>
  <c r="H16" i="12"/>
  <c r="I16" i="12"/>
  <c r="J16" i="12"/>
  <c r="K16" i="12"/>
  <c r="C17" i="12"/>
  <c r="D17" i="12"/>
  <c r="E17" i="12"/>
  <c r="F17" i="12"/>
  <c r="G17" i="12"/>
  <c r="H17" i="12"/>
  <c r="I17" i="12"/>
  <c r="J17" i="12"/>
  <c r="K17" i="12"/>
  <c r="G21" i="12"/>
  <c r="E30" i="7"/>
  <c r="M10" i="11"/>
  <c r="M13" i="11"/>
  <c r="C20" i="7"/>
  <c r="C27" i="7"/>
  <c r="P35" i="2"/>
  <c r="P35" i="10"/>
  <c r="C21" i="7"/>
  <c r="E29" i="7"/>
  <c r="E19" i="7"/>
  <c r="C10" i="7"/>
  <c r="E10" i="7"/>
  <c r="E11" i="7"/>
  <c r="E12" i="7"/>
  <c r="E13" i="7"/>
  <c r="E14" i="7"/>
  <c r="E15" i="7"/>
  <c r="C26" i="7"/>
  <c r="E21" i="7"/>
  <c r="C22" i="7"/>
  <c r="C31" i="7"/>
  <c r="C28" i="7"/>
  <c r="C33" i="7"/>
  <c r="E13" i="1"/>
  <c r="P35" i="11"/>
  <c r="C6" i="10"/>
  <c r="G6" i="10"/>
  <c r="K6" i="10"/>
  <c r="O6" i="10"/>
  <c r="C17" i="10"/>
  <c r="G17" i="10"/>
  <c r="K17" i="10"/>
  <c r="O17" i="10"/>
  <c r="C28" i="10"/>
  <c r="G28" i="10"/>
  <c r="K28" i="10"/>
  <c r="O28" i="10"/>
  <c r="C6" i="2"/>
  <c r="G6" i="2"/>
  <c r="K6" i="2"/>
  <c r="O6" i="2"/>
  <c r="C17" i="2"/>
  <c r="G17" i="2"/>
  <c r="K17" i="2"/>
  <c r="O17" i="2"/>
  <c r="C28" i="2"/>
  <c r="G28" i="2"/>
  <c r="K28" i="2"/>
  <c r="O28" i="2"/>
  <c r="C6" i="11"/>
  <c r="G6" i="11"/>
  <c r="K6" i="11"/>
  <c r="O6" i="11"/>
  <c r="C17" i="11"/>
  <c r="G17" i="11"/>
  <c r="K17" i="11"/>
  <c r="O17" i="11"/>
  <c r="C28" i="11"/>
  <c r="G28" i="11"/>
  <c r="K28" i="11"/>
  <c r="O28" i="11"/>
  <c r="D9" i="11"/>
  <c r="L24" i="11"/>
  <c r="P12" i="2"/>
  <c r="D21" i="10"/>
  <c r="L35" i="10"/>
  <c r="Q34" i="11"/>
  <c r="Q10" i="11"/>
  <c r="D31" i="11"/>
  <c r="H12" i="11"/>
  <c r="P12" i="11"/>
  <c r="D35" i="11"/>
  <c r="L34" i="11"/>
  <c r="D23" i="2"/>
  <c r="H34" i="2"/>
  <c r="L13" i="10"/>
  <c r="D24" i="10"/>
  <c r="H35" i="10"/>
  <c r="D19" i="2"/>
  <c r="Q10" i="10"/>
  <c r="Q32" i="11"/>
  <c r="Q13" i="11"/>
  <c r="M35" i="11"/>
  <c r="Q32" i="2"/>
  <c r="E23" i="7"/>
  <c r="M30" i="10"/>
  <c r="E32" i="2"/>
  <c r="Q34" i="2"/>
  <c r="C15" i="7"/>
  <c r="E34" i="2"/>
  <c r="E8" i="2"/>
  <c r="E24" i="2"/>
  <c r="M32" i="11"/>
  <c r="E25" i="7"/>
  <c r="H24" i="10"/>
  <c r="P23" i="2"/>
  <c r="D20" i="11"/>
  <c r="D35" i="2"/>
  <c r="C25" i="1"/>
  <c r="E18" i="7"/>
  <c r="E16" i="7"/>
  <c r="I10" i="10"/>
  <c r="E8" i="11"/>
  <c r="I32" i="11"/>
  <c r="M13" i="2"/>
  <c r="C19" i="7"/>
  <c r="C16" i="7"/>
  <c r="C14" i="7"/>
  <c r="E24" i="11"/>
  <c r="I13" i="2"/>
  <c r="M35" i="2"/>
  <c r="E19" i="11"/>
  <c r="E10" i="11"/>
  <c r="E10" i="10"/>
  <c r="L30" i="11"/>
  <c r="P24" i="10"/>
  <c r="D13" i="10"/>
  <c r="L12" i="2"/>
  <c r="H23" i="11"/>
  <c r="I30" i="10"/>
  <c r="E8" i="10"/>
  <c r="Q10" i="2"/>
  <c r="I10" i="11"/>
  <c r="I19" i="11"/>
  <c r="E32" i="11"/>
  <c r="M21" i="2"/>
  <c r="E13" i="2"/>
  <c r="M23" i="11"/>
  <c r="C12" i="7"/>
  <c r="C17" i="7"/>
  <c r="H13" i="10"/>
  <c r="P23" i="11"/>
  <c r="C23" i="7"/>
  <c r="I30" i="2"/>
  <c r="Q24" i="11"/>
  <c r="Q13" i="2"/>
  <c r="M21" i="10"/>
  <c r="M20" i="11"/>
  <c r="M10" i="2"/>
  <c r="M8" i="10"/>
  <c r="P13" i="10"/>
  <c r="Q20" i="11"/>
  <c r="I21" i="2"/>
  <c r="Q19" i="11"/>
  <c r="I35" i="2"/>
  <c r="E30" i="11"/>
  <c r="I13" i="11"/>
  <c r="D25" i="1"/>
  <c r="I21" i="10"/>
  <c r="M32" i="2"/>
  <c r="I10" i="2"/>
  <c r="M8" i="11"/>
  <c r="E21" i="11"/>
  <c r="E33" i="10"/>
  <c r="Q24" i="2"/>
  <c r="I35" i="11"/>
  <c r="I24" i="11"/>
  <c r="E22" i="7"/>
  <c r="I32" i="10"/>
  <c r="C11" i="7"/>
  <c r="M10" i="10"/>
  <c r="E24" i="7"/>
  <c r="D23" i="1"/>
  <c r="Q30" i="11"/>
  <c r="I24" i="2"/>
  <c r="I30" i="11"/>
  <c r="Q21" i="11"/>
  <c r="E21" i="2"/>
  <c r="M32" i="10"/>
  <c r="E13" i="11"/>
  <c r="Q9" i="11"/>
  <c r="C12" i="1"/>
  <c r="L10" i="2"/>
  <c r="C23" i="1"/>
  <c r="F13" i="1"/>
  <c r="C13" i="7"/>
  <c r="M21" i="11"/>
  <c r="E34" i="11"/>
  <c r="M23" i="2"/>
  <c r="Q33" i="10"/>
  <c r="I21" i="11"/>
  <c r="I8" i="11"/>
  <c r="Q21" i="2"/>
  <c r="Q21" i="10"/>
  <c r="L34" i="2"/>
  <c r="L24" i="2"/>
  <c r="I19" i="10"/>
  <c r="D21" i="1"/>
  <c r="Q8" i="11"/>
  <c r="E10" i="2"/>
  <c r="I32" i="2"/>
  <c r="E19" i="10"/>
  <c r="E26" i="7"/>
  <c r="D24" i="1"/>
  <c r="M31" i="11"/>
  <c r="D20" i="1"/>
  <c r="Q19" i="2"/>
  <c r="D19" i="1"/>
  <c r="I8" i="2"/>
  <c r="P19" i="2"/>
  <c r="H9" i="11"/>
  <c r="L30" i="10"/>
  <c r="P8" i="2"/>
  <c r="P8" i="10"/>
  <c r="P20" i="11"/>
  <c r="H19" i="10"/>
  <c r="L31" i="11"/>
  <c r="L30" i="2"/>
  <c r="H8" i="10"/>
  <c r="P19" i="10"/>
  <c r="C22" i="1"/>
  <c r="H8" i="2"/>
  <c r="P9" i="11"/>
  <c r="Q35" i="10"/>
  <c r="M13" i="10"/>
  <c r="E30" i="2"/>
  <c r="M24" i="11"/>
  <c r="I23" i="11"/>
  <c r="E35" i="10"/>
  <c r="I24" i="10"/>
  <c r="E35" i="2"/>
  <c r="Q12" i="2"/>
  <c r="M34" i="11"/>
  <c r="M12" i="11"/>
  <c r="Q24" i="10"/>
  <c r="I34" i="2"/>
  <c r="I12" i="2"/>
  <c r="Q35" i="11"/>
  <c r="I12" i="11"/>
  <c r="E21" i="10"/>
  <c r="Q35" i="2"/>
  <c r="E23" i="2"/>
  <c r="I34" i="11"/>
  <c r="E9" i="11"/>
  <c r="I35" i="10"/>
  <c r="E13" i="10"/>
  <c r="I23" i="2"/>
  <c r="E35" i="11"/>
  <c r="E20" i="11"/>
  <c r="M24" i="10"/>
  <c r="Q13" i="10"/>
  <c r="Q23" i="2"/>
  <c r="M12" i="2"/>
  <c r="Q23" i="11"/>
  <c r="E24" i="10"/>
  <c r="M34" i="2"/>
  <c r="E19" i="2"/>
  <c r="M30" i="11"/>
  <c r="Q12" i="11"/>
  <c r="M35" i="10"/>
  <c r="I13" i="10"/>
  <c r="M24" i="2"/>
  <c r="E31" i="11"/>
  <c r="E23" i="11"/>
  <c r="C15" i="1"/>
  <c r="C16" i="1"/>
  <c r="E20" i="7"/>
  <c r="E27" i="7"/>
  <c r="L12" i="11"/>
  <c r="H12" i="2"/>
  <c r="L24" i="10"/>
  <c r="D23" i="11"/>
  <c r="H23" i="2"/>
  <c r="D35" i="10"/>
  <c r="D24" i="2"/>
  <c r="L9" i="11"/>
  <c r="P10" i="10"/>
  <c r="P32" i="11"/>
  <c r="I9" i="11"/>
  <c r="D22" i="1"/>
  <c r="Q8" i="10"/>
  <c r="M30" i="2"/>
  <c r="L8" i="11"/>
  <c r="D8" i="10"/>
  <c r="D21" i="2"/>
  <c r="H19" i="2"/>
  <c r="Q8" i="2"/>
  <c r="I8" i="10"/>
  <c r="Q19" i="10"/>
  <c r="L20" i="11"/>
  <c r="D24" i="11"/>
  <c r="L35" i="11"/>
  <c r="H21" i="2"/>
  <c r="D34" i="11"/>
  <c r="P34" i="11"/>
  <c r="P30" i="2"/>
  <c r="D34" i="2"/>
  <c r="P10" i="2"/>
  <c r="E31" i="10"/>
  <c r="M8" i="2"/>
  <c r="M9" i="11"/>
  <c r="Q31" i="10"/>
  <c r="L10" i="11"/>
  <c r="H13" i="11"/>
  <c r="D32" i="2"/>
  <c r="L21" i="10"/>
  <c r="L19" i="10"/>
  <c r="P32" i="2"/>
  <c r="H24" i="11"/>
  <c r="H30" i="11"/>
  <c r="L19" i="2"/>
  <c r="I31" i="11"/>
  <c r="L32" i="11"/>
  <c r="D13" i="2"/>
  <c r="D12" i="11"/>
  <c r="H19" i="11"/>
  <c r="L13" i="11"/>
  <c r="D19" i="11"/>
  <c r="D21" i="11"/>
  <c r="L32" i="2"/>
  <c r="D33" i="10"/>
  <c r="L8" i="2"/>
  <c r="M19" i="10"/>
  <c r="M19" i="11"/>
  <c r="M19" i="2"/>
  <c r="L23" i="2"/>
  <c r="L35" i="2"/>
  <c r="H30" i="2"/>
  <c r="D10" i="2"/>
  <c r="H24" i="2"/>
  <c r="P31" i="11"/>
  <c r="H32" i="11"/>
  <c r="D12" i="2"/>
  <c r="D8" i="11"/>
  <c r="L32" i="10"/>
  <c r="H21" i="11"/>
  <c r="H35" i="11"/>
  <c r="H10" i="10"/>
  <c r="P34" i="2"/>
  <c r="L19" i="11"/>
  <c r="L23" i="11"/>
  <c r="H35" i="2"/>
  <c r="D19" i="10"/>
  <c r="P33" i="10"/>
  <c r="L10" i="10"/>
  <c r="P13" i="11"/>
  <c r="H32" i="2"/>
  <c r="L21" i="2"/>
  <c r="D8" i="2"/>
  <c r="L13" i="2"/>
  <c r="H20" i="11"/>
  <c r="P19" i="11"/>
  <c r="P30" i="11"/>
  <c r="H10" i="11"/>
  <c r="D10" i="11"/>
  <c r="H30" i="10"/>
  <c r="H13" i="2"/>
  <c r="D10" i="10"/>
  <c r="H8" i="11"/>
  <c r="P31" i="10"/>
  <c r="P21" i="2"/>
  <c r="P13" i="2"/>
  <c r="P21" i="10"/>
  <c r="D31" i="10"/>
  <c r="D13" i="11"/>
  <c r="P8" i="11"/>
  <c r="H32" i="10"/>
  <c r="I19" i="2"/>
  <c r="I20" i="11"/>
  <c r="E12" i="2"/>
  <c r="E12" i="11"/>
  <c r="Q30" i="2"/>
  <c r="Q31" i="11"/>
  <c r="L8" i="10"/>
  <c r="H21" i="10"/>
  <c r="H10" i="2"/>
  <c r="H31" i="11"/>
  <c r="L21" i="11"/>
  <c r="P21" i="11"/>
  <c r="P24" i="11"/>
  <c r="P24" i="2"/>
  <c r="D32" i="11"/>
  <c r="D30" i="11"/>
  <c r="P10" i="11"/>
  <c r="C21" i="1"/>
  <c r="C20" i="1"/>
</calcChain>
</file>

<file path=xl/comments1.xml><?xml version="1.0" encoding="utf-8"?>
<comments xmlns="http://schemas.openxmlformats.org/spreadsheetml/2006/main">
  <authors>
    <author>mt</author>
    <author>marc</author>
  </authors>
  <commentList>
    <comment ref="C10" authorId="0">
      <text>
        <r>
          <rPr>
            <sz val="10"/>
            <rFont val="Arial"/>
          </rPr>
          <t xml:space="preserve">CAT test est couru sur 2000m
</t>
        </r>
      </text>
    </comment>
    <comment ref="F10" authorId="0">
      <text>
        <r>
          <rPr>
            <sz val="10"/>
            <rFont val="Arial"/>
          </rPr>
          <t>restez réaliste.
N'espérez pas une progression trop rapide par rapport à votre valeur réelle!</t>
        </r>
      </text>
    </comment>
    <comment ref="B11" authorId="0">
      <text>
        <r>
          <rPr>
            <sz val="10"/>
            <rFont val="Arial"/>
          </rPr>
          <t xml:space="preserve">Le CAT Test est un test sur piste à allure constante, réalisé au maximum de vos possibilités.
</t>
        </r>
      </text>
    </comment>
    <comment ref="C11" authorId="0">
      <text>
        <r>
          <rPr>
            <sz val="10"/>
            <rFont val="Arial"/>
          </rPr>
          <t xml:space="preserve">Le CAT Test est un test sur piste réalisé au maximum des possibilités, à allure constante. Le dernier demi-tour sera couru "à fond", ce qui permettra de connaître sa F.C. max
</t>
        </r>
      </text>
    </comment>
    <comment ref="E13" authorId="1">
      <text>
        <r>
          <rPr>
            <b/>
            <sz val="8"/>
            <color indexed="81"/>
            <rFont val="Tahoma"/>
          </rPr>
          <t>Pour réaliser cet objectif, il faut réaliser au minimum au CAT test:</t>
        </r>
        <r>
          <rPr>
            <sz val="8"/>
            <color indexed="81"/>
            <rFont val="Tahoma"/>
          </rPr>
          <t xml:space="preserve">
</t>
        </r>
      </text>
    </comment>
    <comment ref="F13" authorId="0">
      <text>
        <r>
          <rPr>
            <b/>
            <sz val="10"/>
            <color indexed="81"/>
            <rFont val="Arial"/>
            <family val="2"/>
          </rPr>
          <t>Ce temps est le temps minimum à réaliser sur un CAT test pour espérer réaliser l'objectif souhaité</t>
        </r>
      </text>
    </comment>
    <comment ref="F14" authorId="0">
      <text>
        <r>
          <rPr>
            <b/>
            <sz val="10"/>
            <color indexed="81"/>
            <rFont val="Arial"/>
            <family val="2"/>
          </rPr>
          <t>Saisissez le temps du 10 km souhaité en haut du tableau !</t>
        </r>
      </text>
    </comment>
    <comment ref="C15" authorId="1">
      <text>
        <r>
          <rPr>
            <b/>
            <sz val="8"/>
            <color indexed="81"/>
            <rFont val="Tahoma"/>
          </rPr>
          <t xml:space="preserve">VMA:
Vitesse Maximum Aerobie.
</t>
        </r>
        <r>
          <rPr>
            <sz val="8"/>
            <color indexed="81"/>
            <rFont val="Tahoma"/>
            <family val="2"/>
          </rPr>
          <t>Vos allures de courses sont calculées en % de cette vitesse (voir Feuille "VMA")</t>
        </r>
        <r>
          <rPr>
            <sz val="8"/>
            <color indexed="81"/>
            <rFont val="Tahoma"/>
          </rPr>
          <t xml:space="preserve">
</t>
        </r>
      </text>
    </comment>
    <comment ref="D18" authorId="0">
      <text>
        <r>
          <rPr>
            <sz val="10"/>
            <rFont val="Arial"/>
          </rPr>
          <t xml:space="preserve">Indiquez la FC Max obtenue durant le test, 220 - l'age si vous ne la connaissez pas </t>
        </r>
      </text>
    </comment>
    <comment ref="C19" authorId="0">
      <text>
        <r>
          <rPr>
            <sz val="10"/>
            <rFont val="Arial"/>
          </rPr>
          <t>Distance entre 100 &amp; 1000 mètres</t>
        </r>
      </text>
    </comment>
  </commentList>
</comments>
</file>

<file path=xl/comments2.xml><?xml version="1.0" encoding="utf-8"?>
<comments xmlns="http://schemas.openxmlformats.org/spreadsheetml/2006/main">
  <authors>
    <author>marc</author>
  </authors>
  <commentList>
    <comment ref="D7" authorId="0">
      <text>
        <r>
          <rPr>
            <b/>
            <sz val="8"/>
            <color indexed="81"/>
            <rFont val="Tahoma"/>
          </rPr>
          <t xml:space="preserve">C'est la valeur que vous avez trouvé cellule B14  Feuille Etalonnage
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<sst xmlns="http://schemas.openxmlformats.org/spreadsheetml/2006/main" count="766" uniqueCount="285">
  <si>
    <t>Footing rapide</t>
  </si>
  <si>
    <t>Allures intervalles</t>
  </si>
  <si>
    <t>Fractionné</t>
  </si>
  <si>
    <t>zone verte</t>
  </si>
  <si>
    <t>zone jaune</t>
  </si>
  <si>
    <t>zone orange</t>
  </si>
  <si>
    <t>Zone rouge</t>
  </si>
  <si>
    <t>anaérobie</t>
  </si>
  <si>
    <t>Zones d'entraînements : vitesses, temps, fréquences cardiaques</t>
  </si>
  <si>
    <t>et procédés d'entraînements associés</t>
  </si>
  <si>
    <t xml:space="preserve">Saisissez votre fréquence cardiaque maxi: </t>
  </si>
  <si>
    <t xml:space="preserve">Saisissez votre fréquence cardiaque au repos (debout): </t>
  </si>
  <si>
    <t>aérobie</t>
  </si>
  <si>
    <t>Filière :</t>
  </si>
  <si>
    <t>Votre VMA (m/sec):</t>
  </si>
  <si>
    <t>Les cases à saisir sont en jaune</t>
  </si>
  <si>
    <t xml:space="preserve">Le plan vous propose alors 3 possibilités: </t>
  </si>
  <si>
    <t>60' ENDURANCE</t>
  </si>
  <si>
    <t>45' ENDURANCE</t>
  </si>
  <si>
    <t>VMA</t>
  </si>
  <si>
    <t>km/h</t>
  </si>
  <si>
    <t>TEMPS DE PASSAGE AUX :</t>
  </si>
  <si>
    <t>% souhaités</t>
  </si>
  <si>
    <t>distances (en mètres) choisies par l'entraîneur</t>
  </si>
  <si>
    <t>de la VMA</t>
  </si>
  <si>
    <t>Pour une autre distance :</t>
  </si>
  <si>
    <t>% choisi :</t>
  </si>
  <si>
    <t>distance :</t>
  </si>
  <si>
    <t>mètres</t>
  </si>
  <si>
    <t>Temps :</t>
  </si>
  <si>
    <t>footing</t>
  </si>
  <si>
    <t>Intervalles</t>
  </si>
  <si>
    <t>(seuil)</t>
  </si>
  <si>
    <t>vitesses (%VMA)</t>
  </si>
  <si>
    <t>80-85%</t>
  </si>
  <si>
    <t>110% et +</t>
  </si>
  <si>
    <t>ou VO2</t>
  </si>
  <si>
    <t>seuil</t>
  </si>
  <si>
    <t>Fréquence cardiaque % max</t>
  </si>
  <si>
    <t>maximale</t>
  </si>
  <si>
    <t>temps maximal</t>
  </si>
  <si>
    <t>+ 3 heures</t>
  </si>
  <si>
    <t>45'-1h</t>
  </si>
  <si>
    <t>6-7'</t>
  </si>
  <si>
    <t>5' et -</t>
  </si>
  <si>
    <t>de course</t>
  </si>
  <si>
    <t>distances</t>
  </si>
  <si>
    <t>1500m</t>
  </si>
  <si>
    <t>2-3 km</t>
  </si>
  <si>
    <t> </t>
  </si>
  <si>
    <t>exemple vitesse</t>
  </si>
  <si>
    <t>.8-9 km/h</t>
  </si>
  <si>
    <t>12-13 km/h</t>
  </si>
  <si>
    <t>15 km/h</t>
  </si>
  <si>
    <t>16 km/h</t>
  </si>
  <si>
    <t>zones d'entraînement</t>
  </si>
  <si>
    <t>FC</t>
  </si>
  <si>
    <t xml:space="preserve">REPOS </t>
  </si>
  <si>
    <t>Paramètres correspondants à l'objectif choisi:</t>
  </si>
  <si>
    <t>VMA sur 1000m (hh:mn:sec):</t>
  </si>
  <si>
    <t>Cycle 1</t>
  </si>
  <si>
    <t>Cycle 2</t>
  </si>
  <si>
    <t>dist_semi</t>
  </si>
  <si>
    <t>K_test</t>
  </si>
  <si>
    <t>K_facile</t>
  </si>
  <si>
    <t>Votre valeur actuelle:</t>
  </si>
  <si>
    <t>F.C.</t>
  </si>
  <si>
    <t>Constantes &amp; parametres de calcul</t>
  </si>
  <si>
    <t>Temps de récupération</t>
  </si>
  <si>
    <t>Saisissez le temps réalisé au CAT Test (hh:mm:ss) :</t>
  </si>
  <si>
    <t>fc_repos</t>
  </si>
  <si>
    <t>T_100</t>
  </si>
  <si>
    <t>R_100</t>
  </si>
  <si>
    <t>Votre temps au Km (mn:sec):</t>
  </si>
  <si>
    <t>en sec:</t>
  </si>
  <si>
    <t>fc_200</t>
  </si>
  <si>
    <t>T_200</t>
  </si>
  <si>
    <t>R_200</t>
  </si>
  <si>
    <t>fc_400</t>
  </si>
  <si>
    <t>T_300</t>
  </si>
  <si>
    <t>R_300</t>
  </si>
  <si>
    <t>en Km/heure:</t>
  </si>
  <si>
    <t>fc_500</t>
  </si>
  <si>
    <t>T_400</t>
  </si>
  <si>
    <t>R_400</t>
  </si>
  <si>
    <t>fc_semi</t>
  </si>
  <si>
    <t>T_500</t>
  </si>
  <si>
    <t>R_500</t>
  </si>
  <si>
    <t>votre indice VO2 Max:</t>
  </si>
  <si>
    <t>z_travail</t>
  </si>
  <si>
    <t>T_1000</t>
  </si>
  <si>
    <t>R_1000</t>
  </si>
  <si>
    <t>k_vma</t>
  </si>
  <si>
    <t>t_3000</t>
  </si>
  <si>
    <t>Sur quelle distance voulez-vous connaître votre allure VMA (metres)</t>
  </si>
  <si>
    <t>k_anaero</t>
  </si>
  <si>
    <t>t_4000</t>
  </si>
  <si>
    <t>Allure VMA correspondante (mn:sec):</t>
  </si>
  <si>
    <t>k_aero</t>
  </si>
  <si>
    <t>t_x</t>
  </si>
  <si>
    <t>en sec :</t>
  </si>
  <si>
    <t>k_recup</t>
  </si>
  <si>
    <t>fc_x</t>
  </si>
  <si>
    <t>k_marat</t>
  </si>
  <si>
    <t>fc_100</t>
  </si>
  <si>
    <t>k_semi</t>
  </si>
  <si>
    <t>T_10k</t>
  </si>
  <si>
    <t>Allure de récupération:</t>
  </si>
  <si>
    <t>k_10</t>
  </si>
  <si>
    <t>T_semi</t>
  </si>
  <si>
    <t>ind_vma</t>
  </si>
  <si>
    <t>al_semi</t>
  </si>
  <si>
    <t>dist_vma_min</t>
  </si>
  <si>
    <t>facile</t>
  </si>
  <si>
    <t>dist_marathon</t>
  </si>
  <si>
    <t>Recommandations</t>
  </si>
  <si>
    <t>Entrainement à allure VMA</t>
  </si>
  <si>
    <t>séance d'intervalles</t>
  </si>
  <si>
    <t>séance VMA</t>
  </si>
  <si>
    <t>Jaune foncé</t>
  </si>
  <si>
    <t>Vert Clair</t>
  </si>
  <si>
    <t>Jaune clair</t>
  </si>
  <si>
    <t>Bleu foncé</t>
  </si>
  <si>
    <t>Mauve</t>
  </si>
  <si>
    <t>Brun</t>
  </si>
  <si>
    <t>50' ENDURANCE</t>
  </si>
  <si>
    <t>TPS</t>
  </si>
  <si>
    <t>fc_300</t>
  </si>
  <si>
    <t>fc_800</t>
  </si>
  <si>
    <t>fc_1200</t>
  </si>
  <si>
    <t xml:space="preserve">Si vous vous sentez fatigué, levez le pied ou sautez une séance. </t>
  </si>
  <si>
    <t>Il est nécessaire d'être à l'écoute de ses sensations.</t>
  </si>
  <si>
    <t>Composition d'une séance  :</t>
  </si>
  <si>
    <t xml:space="preserve">Chaque séance débute par un échauffement et se termine par un retour au calme. </t>
  </si>
  <si>
    <t>L'échauffement  :</t>
  </si>
  <si>
    <t xml:space="preserve">Celui ci varie en fonction du contenu de la séance, plus la séance comporte de rythmes rapides  </t>
  </si>
  <si>
    <t>et plus l'échauffement est complet. A la dizaine de minutes de course lente indispensable</t>
  </si>
  <si>
    <t xml:space="preserve">pour bien débuter une sortie en endurance, il faut ajouter (au minimum), quelques exercices </t>
  </si>
  <si>
    <t>Bras / Tronc / Jambes , du PPG et 2 à 3 déboulés pour effectuer des exercices plus rapides.</t>
  </si>
  <si>
    <t>Le retour au calme  :</t>
  </si>
  <si>
    <t>Afin de bien scinder le retour au calme de la période qui précède, il est conseillé de marcher</t>
  </si>
  <si>
    <t>une minute avant de reprendre par une course lente d'une dizaine de minutes suivie</t>
  </si>
  <si>
    <t>d'une série d'étirements doux.</t>
  </si>
  <si>
    <t>Avant tout il est nécessaire de se connaître un peu:</t>
  </si>
  <si>
    <t>Il est donc nécessaire de commencer par un test de terrain, pratiqué sur piste de préférence.</t>
  </si>
  <si>
    <t>( record de l'épreuve, profil, nombre et niveau des participants, etc )</t>
  </si>
  <si>
    <t>car il est fort probable que vous n'iriez pas au bout!</t>
  </si>
  <si>
    <t>Un plan sur 4 séances hebdomadaires</t>
  </si>
  <si>
    <t>Un plan sur 5 séances hebdomadaires</t>
  </si>
  <si>
    <t>MER.</t>
  </si>
  <si>
    <t>VEN.</t>
  </si>
  <si>
    <t>SAM.</t>
  </si>
  <si>
    <t>DIM.</t>
  </si>
  <si>
    <t>JEU.</t>
  </si>
  <si>
    <t>MAR.</t>
  </si>
  <si>
    <t>LUN.</t>
  </si>
  <si>
    <t>Cycle 3</t>
  </si>
  <si>
    <t>LEGENDE</t>
  </si>
  <si>
    <r>
      <t>30'ECH+10X400M R</t>
    </r>
    <r>
      <rPr>
        <sz val="8"/>
        <color indexed="81"/>
        <rFont val="Arial Narrow"/>
        <family val="2"/>
      </rPr>
      <t>ECUP 1'</t>
    </r>
  </si>
  <si>
    <t>COULEUR DE LA CASE</t>
  </si>
  <si>
    <t>TYPE D' ENTRAÎNEMENT</t>
  </si>
  <si>
    <t>INFORMATIONS ANNEXES</t>
  </si>
  <si>
    <t>Temps final + FC de base</t>
  </si>
  <si>
    <t xml:space="preserve">Vitesse au Km + FC de base </t>
  </si>
  <si>
    <t xml:space="preserve">Temps + FC des exercices </t>
  </si>
  <si>
    <t>Distance + FC des exercices</t>
  </si>
  <si>
    <t>On y a intercalé des compétitions (facultatives) qui sont à réaliser sans soucis de performances maximum</t>
  </si>
  <si>
    <t>REALISATION DU TEST :</t>
  </si>
  <si>
    <t>Comme vous pouvez souhaiter préparer un 10 Km pour un résultat différent de ce</t>
  </si>
  <si>
    <t xml:space="preserve">séance spécifique à vitesse de l'OBJECTIF </t>
  </si>
  <si>
    <t>Votre objectif sur 10 Km (hh:mm:ss)</t>
  </si>
  <si>
    <t>date de l'épreuve :</t>
  </si>
  <si>
    <t>Le 10 Km devra être couru à (mn:sec) / Kms:</t>
  </si>
  <si>
    <t>Allure théorique 10 Km:</t>
  </si>
  <si>
    <t>Votre temps théorique sur 10 Km:</t>
  </si>
  <si>
    <t>10 Km    :        OBJECTIF</t>
  </si>
  <si>
    <t>Test 10 Km seul ou sur compétition</t>
  </si>
  <si>
    <t>compétition ou assimilé</t>
  </si>
  <si>
    <t>30' END+VMA 2x         (5x60"/60")/4'récup</t>
  </si>
  <si>
    <t>30' END+VMA 3x      (7x15"/15")/4'récup</t>
  </si>
  <si>
    <t>30' END+VMA 2x      (6x40"/40")/4'récup</t>
  </si>
  <si>
    <t>30' END+VMA 2x     (6x30"/30")/4'récup</t>
  </si>
  <si>
    <t>30' END+VMA 2x    (10x20"/20")/4'récup</t>
  </si>
  <si>
    <t>40' ENDURANCE   + 3 déboulés</t>
  </si>
  <si>
    <r>
      <t>20'ECH+6X300M RECUP = 1'30"</t>
    </r>
    <r>
      <rPr>
        <sz val="8.75"/>
        <color indexed="8"/>
        <rFont val="Arial Narrow"/>
        <family val="2"/>
      </rPr>
      <t/>
    </r>
  </si>
  <si>
    <t>30'ECH+3X1000M   RECUP = 4' 00"</t>
  </si>
  <si>
    <t>55' ENDURANCE</t>
  </si>
  <si>
    <t>50' ENDURANCE   + 3 déboulés</t>
  </si>
  <si>
    <t>45'END dont 3X : 80M / Recup 80 M</t>
  </si>
  <si>
    <t>Compétition "contrôle" 10KM</t>
  </si>
  <si>
    <t>Sortie cool                     de 1H00' à 1H05'</t>
  </si>
  <si>
    <t>Sortie cool                     de 50'</t>
  </si>
  <si>
    <t>Sortie cool                     de 55'</t>
  </si>
  <si>
    <t>Sortie cool                     de 55' à 1H00</t>
  </si>
  <si>
    <t>Sortie cool                     de 55' à 1H05'</t>
  </si>
  <si>
    <t>30' END+VMA 3x      (6x20"/20")/4'récup</t>
  </si>
  <si>
    <t>25'ECH + 5 x 1000M RECUP = 3' 30"</t>
  </si>
  <si>
    <r>
      <t>20'ECH + 5 X 900M RECUP = 3' 00"</t>
    </r>
    <r>
      <rPr>
        <sz val="8.75"/>
        <color indexed="8"/>
        <rFont val="Arial Narrow"/>
        <family val="2"/>
      </rPr>
      <t/>
    </r>
  </si>
  <si>
    <r>
      <t>20'ECH + 6 X 300M RECUP = 1'30"</t>
    </r>
    <r>
      <rPr>
        <sz val="8.75"/>
        <color indexed="8"/>
        <rFont val="Arial Narrow"/>
        <family val="2"/>
      </rPr>
      <t/>
    </r>
  </si>
  <si>
    <r>
      <t>30'ECH+6 X 500M RECUP = 2' 30"</t>
    </r>
    <r>
      <rPr>
        <sz val="8"/>
        <color indexed="8"/>
        <rFont val="Arial"/>
        <family val="2"/>
      </rPr>
      <t/>
    </r>
  </si>
  <si>
    <r>
      <t>30'ECH + 8 X 200M RECUP = 2' 00"</t>
    </r>
    <r>
      <rPr>
        <sz val="8.75"/>
        <color indexed="8"/>
        <rFont val="Arial Narrow"/>
        <family val="2"/>
      </rPr>
      <t/>
    </r>
  </si>
  <si>
    <t>25' ECH + 7 x 300M RECUP = 2' 40 "</t>
  </si>
  <si>
    <t>25'ECH + 10 X 150M RECUP = 1'30"</t>
  </si>
  <si>
    <t>25'ECH + 9 x 200M RECUP = 2' 00"</t>
  </si>
  <si>
    <r>
      <t>25' ECH + 6 X 500M RECUP = 3' 00"</t>
    </r>
    <r>
      <rPr>
        <sz val="8"/>
        <color indexed="8"/>
        <rFont val="Arial"/>
        <family val="2"/>
      </rPr>
      <t/>
    </r>
  </si>
  <si>
    <t>20'ECH + 5 X 400M RECUP = 3' 00"</t>
  </si>
  <si>
    <t>30' END + 2 x 6'      Récup 3' - 10' END</t>
  </si>
  <si>
    <t>20' END + 5 x 5'      Récup 2' - 10' END</t>
  </si>
  <si>
    <t>20' END + 8 x 3'     Récup 1' - 10' END</t>
  </si>
  <si>
    <t>25' END + 5 x 4'      Récup 1' - 10' END</t>
  </si>
  <si>
    <t>Un plan sur 3 séances hebdomadaires</t>
  </si>
  <si>
    <t>30' END + 7 x 2'      Récup 1' - 10' END</t>
  </si>
  <si>
    <t>20' END + 6 x 3'      Récup 2' - 10' END</t>
  </si>
  <si>
    <t>25' END + 3 x 1000m      Récup 3' - 10' END</t>
  </si>
  <si>
    <t>35'END - 4 x 3'        Récup 2' - 10' END</t>
  </si>
  <si>
    <t>30'END - 4 x 4'         Récup 3' - 10' END</t>
  </si>
  <si>
    <t>25'END - 6 x 3'        Récup 3' - 10' END</t>
  </si>
  <si>
    <t>25'END - 5 x 4'         Récup 2' - 10' END</t>
  </si>
  <si>
    <t>30'END - 3 x 5'        Récup 3' - 10' END</t>
  </si>
  <si>
    <t>30'END - 6 x 2'        Récup 1' - 10' END</t>
  </si>
  <si>
    <t>30'END - 3 x 3'         Récup 3' - 10' END</t>
  </si>
  <si>
    <t>30'END - 5 x 2'         Récup 2' - 10' END</t>
  </si>
  <si>
    <t>25'END - 7 x 1'         Récup 2' - 10' END</t>
  </si>
  <si>
    <t>35' END - 7 x 1'      Récup 1' - 10' END</t>
  </si>
  <si>
    <t>25' END - 6 x 2'       Récup 2' - 10' END</t>
  </si>
  <si>
    <t>30' END - 4 x 3'       Récup 2' - 10' END</t>
  </si>
  <si>
    <t>Sortie cool                     de 1H05' à 1H15'</t>
  </si>
  <si>
    <t>Sortie cool                     de 1H10'</t>
  </si>
  <si>
    <t xml:space="preserve">Sortie cool                     de 55' </t>
  </si>
  <si>
    <t>Sortie cool                     de 1H05' à 1H10'</t>
  </si>
  <si>
    <t>Sortie cool                     de 1h00' à 1H05'</t>
  </si>
  <si>
    <t>50' ENDURANCE           + 3 déboulés</t>
  </si>
  <si>
    <t>Sortie cool                     de 1H00</t>
  </si>
  <si>
    <t>Sortie cool                     de 01h00' à 1H05'</t>
  </si>
  <si>
    <t>55 ENDURANCE</t>
  </si>
  <si>
    <t>25'ECH + 6 x 1000M RECUP = 3' 30"</t>
  </si>
  <si>
    <r>
      <t>25' ECH + 8 X 500M RECUP = 3' 00"</t>
    </r>
    <r>
      <rPr>
        <sz val="8"/>
        <color indexed="8"/>
        <rFont val="Arial"/>
        <family val="2"/>
      </rPr>
      <t/>
    </r>
  </si>
  <si>
    <t>25'ECH +                           2 x : (6x 200M/ r = 2')                   RECUP = 5' 00"</t>
  </si>
  <si>
    <t>20'ECH + 6 X 400M RECUP = 2' 30"</t>
  </si>
  <si>
    <t>25' ECH + 10 x 300M RECUP = 2' 00 "</t>
  </si>
  <si>
    <t>25'ECH +                           2 x : (6x 150M/ r = 2')                   RECUP = 5' 00"</t>
  </si>
  <si>
    <t>35' END + 3 x 3'      Récup 2' - 10' END</t>
  </si>
  <si>
    <t>fc_competition</t>
  </si>
  <si>
    <t>fc_vma</t>
  </si>
  <si>
    <t>rapport</t>
  </si>
  <si>
    <t>Distance du test</t>
  </si>
  <si>
    <t>fc_reserve</t>
  </si>
  <si>
    <t>pulsations</t>
  </si>
  <si>
    <t>fc_150</t>
  </si>
  <si>
    <t>fc_1000</t>
  </si>
  <si>
    <t>fc_900</t>
  </si>
  <si>
    <t>Vitesse/km + FC de l'exercice - End = Brun</t>
  </si>
  <si>
    <t>séance d'endurance active</t>
  </si>
  <si>
    <t>séance d'endurance de base</t>
  </si>
  <si>
    <t>endurance de base</t>
  </si>
  <si>
    <t>endurance rapide</t>
  </si>
  <si>
    <t>moyen</t>
  </si>
  <si>
    <t>.70%</t>
  </si>
  <si>
    <t>.3 heures</t>
  </si>
  <si>
    <t>.marathon</t>
  </si>
  <si>
    <t>1/2 marathon</t>
  </si>
  <si>
    <t>10 miles</t>
  </si>
  <si>
    <t>10km</t>
  </si>
  <si>
    <t>Footing moyen à soutenu</t>
  </si>
  <si>
    <r>
      <t xml:space="preserve"> </t>
    </r>
    <r>
      <rPr>
        <sz val="10"/>
        <color indexed="8"/>
        <rFont val="Symbol"/>
        <family val="1"/>
        <charset val="2"/>
      </rPr>
      <t>®</t>
    </r>
  </si>
  <si>
    <t>Le feuillet VMA permet de prévoir votre rythme pour les séances VMA.</t>
  </si>
  <si>
    <t>PROGRAMME DE PLANIFICATION D'ENTRAINEMENT POUR LE 10 KM</t>
  </si>
  <si>
    <t>L'utilisation du programme commence par le feuillet Etalonnage</t>
  </si>
  <si>
    <t>Vos objectifs : (soyez réaliste!)</t>
  </si>
  <si>
    <r>
      <t xml:space="preserve">Saisissez vos paramètres dans les cases en </t>
    </r>
    <r>
      <rPr>
        <b/>
        <sz val="14"/>
        <color indexed="22"/>
        <rFont val="HelveticaNeueLT Std"/>
        <family val="2"/>
      </rPr>
      <t>jaunes</t>
    </r>
  </si>
  <si>
    <t>Calculs intermédiaires</t>
  </si>
  <si>
    <t xml:space="preserve">Entrez votre VMA: </t>
  </si>
  <si>
    <r>
      <t xml:space="preserve">Ce test se déroule sur </t>
    </r>
    <r>
      <rPr>
        <b/>
        <sz val="11"/>
        <color theme="8" tint="-0.499984740745262"/>
        <rFont val="HelveticaNeueLT Std"/>
        <family val="2"/>
      </rPr>
      <t>2000m</t>
    </r>
  </si>
  <si>
    <r>
      <t xml:space="preserve">Il s'agit de courir </t>
    </r>
    <r>
      <rPr>
        <b/>
        <sz val="11"/>
        <color theme="8" tint="-0.499984740745262"/>
        <rFont val="HelveticaNeueLT Std"/>
        <family val="2"/>
      </rPr>
      <t>le plus vite possible</t>
    </r>
    <r>
      <rPr>
        <sz val="11"/>
        <color theme="8" tint="-0.499984740745262"/>
        <rFont val="HelveticaNeueLT Std"/>
        <family val="2"/>
      </rPr>
      <t xml:space="preserve"> , </t>
    </r>
    <r>
      <rPr>
        <b/>
        <sz val="11"/>
        <color theme="8" tint="-0.499984740745262"/>
        <rFont val="HelveticaNeueLT Std"/>
        <family val="2"/>
      </rPr>
      <t>à allure constante</t>
    </r>
    <r>
      <rPr>
        <sz val="11"/>
        <color theme="8" tint="-0.499984740745262"/>
        <rFont val="HelveticaNeueLT Std"/>
        <family val="2"/>
      </rPr>
      <t xml:space="preserve"> puis en parcourant les 200 derniers mètres "à fond"</t>
    </r>
  </si>
  <si>
    <r>
      <t>RESULTAT Temps :</t>
    </r>
    <r>
      <rPr>
        <sz val="11"/>
        <color theme="8" tint="-0.499984740745262"/>
        <rFont val="HelveticaNeueLT Std"/>
        <family val="2"/>
      </rPr>
      <t xml:space="preserve"> Le chiffre que vous obtiendrez est à reporter case </t>
    </r>
    <r>
      <rPr>
        <b/>
        <sz val="11"/>
        <color theme="8" tint="-0.499984740745262"/>
        <rFont val="HelveticaNeueLT Std"/>
        <family val="2"/>
      </rPr>
      <t>B10.</t>
    </r>
  </si>
  <si>
    <r>
      <t xml:space="preserve">Vous profiterez de ce test pour mesurer votre </t>
    </r>
    <r>
      <rPr>
        <b/>
        <sz val="11"/>
        <color theme="8" tint="-0.499984740745262"/>
        <rFont val="HelveticaNeueLT Std"/>
        <family val="2"/>
      </rPr>
      <t xml:space="preserve">fréquence cardiaque maxi </t>
    </r>
    <r>
      <rPr>
        <sz val="11"/>
        <color theme="8" tint="-0.499984740745262"/>
        <rFont val="HelveticaNeueLT Std"/>
        <family val="2"/>
      </rPr>
      <t>(en fin de test)</t>
    </r>
  </si>
  <si>
    <r>
      <t>RESULTAT FCM :</t>
    </r>
    <r>
      <rPr>
        <sz val="11"/>
        <color theme="8" tint="-0.499984740745262"/>
        <rFont val="HelveticaNeueLT Std"/>
        <family val="2"/>
      </rPr>
      <t xml:space="preserve"> Reportez le résultat case </t>
    </r>
    <r>
      <rPr>
        <b/>
        <sz val="11"/>
        <color theme="8" tint="-0.499984740745262"/>
        <rFont val="HelveticaNeueLT Std"/>
        <family val="2"/>
      </rPr>
      <t>C17</t>
    </r>
    <r>
      <rPr>
        <sz val="11"/>
        <color theme="8" tint="-0.499984740745262"/>
        <rFont val="HelveticaNeueLT Std"/>
        <family val="2"/>
      </rPr>
      <t>.</t>
    </r>
  </si>
  <si>
    <r>
      <t xml:space="preserve">Ces chiffres vous indiquent votre </t>
    </r>
    <r>
      <rPr>
        <b/>
        <sz val="11"/>
        <color theme="8" tint="-0.499984740745262"/>
        <rFont val="HelveticaNeueLT Std"/>
        <family val="2"/>
      </rPr>
      <t>niveau actuel</t>
    </r>
    <r>
      <rPr>
        <sz val="11"/>
        <color theme="8" tint="-0.499984740745262"/>
        <rFont val="HelveticaNeueLT Std"/>
        <family val="2"/>
      </rPr>
      <t>.</t>
    </r>
  </si>
  <si>
    <r>
      <t>que prévoit le résultat du test, vous entrez le temps désiré case</t>
    </r>
    <r>
      <rPr>
        <b/>
        <sz val="11"/>
        <color theme="8" tint="-0.499984740745262"/>
        <rFont val="HelveticaNeueLT Std"/>
        <family val="2"/>
      </rPr>
      <t xml:space="preserve"> E9.</t>
    </r>
  </si>
  <si>
    <r>
      <t xml:space="preserve">En plus lent </t>
    </r>
    <r>
      <rPr>
        <sz val="11"/>
        <color theme="8" tint="-0.499984740745262"/>
        <rFont val="HelveticaNeueLT Std"/>
        <family val="2"/>
      </rPr>
      <t xml:space="preserve">: cela se fera en fonction de l'(in)expérience et de l'épreuve choisie </t>
    </r>
  </si>
  <si>
    <r>
      <t>En plus rapide :</t>
    </r>
    <r>
      <rPr>
        <sz val="11"/>
        <color theme="8" tint="-0.499984740745262"/>
        <rFont val="HelveticaNeueLT Std"/>
        <family val="2"/>
      </rPr>
      <t xml:space="preserve"> Attention, restez les pieds sur terre, il ne faut pas s'écarter trop largement du temps calculé  </t>
    </r>
  </si>
  <si>
    <r>
      <t xml:space="preserve">Les plans sont structurés sur </t>
    </r>
    <r>
      <rPr>
        <b/>
        <sz val="11"/>
        <color theme="8" tint="-0.499984740745262"/>
        <rFont val="HelveticaNeueLT Std"/>
        <family val="2"/>
      </rPr>
      <t>3 périodes de 4 semaines :</t>
    </r>
  </si>
  <si>
    <r>
      <t>Séances :</t>
    </r>
    <r>
      <rPr>
        <sz val="11"/>
        <color theme="8" tint="-0.499984740745262"/>
        <rFont val="HelveticaNeueLT Std"/>
        <family val="2"/>
      </rPr>
      <t xml:space="preserve"> le type d' allure visé  détermine la couleur de la case ou se situe la séance</t>
    </r>
  </si>
  <si>
    <r>
      <rPr>
        <b/>
        <sz val="10"/>
        <color indexed="20"/>
        <rFont val="Arial"/>
        <family val="2"/>
      </rPr>
      <t>ATTENTION</t>
    </r>
    <r>
      <rPr>
        <b/>
        <sz val="10"/>
        <color theme="8" tint="-0.499984740745262"/>
        <rFont val="Arial"/>
        <family val="2"/>
      </rPr>
      <t>, même si vous êtes d'accord avec le temps prévu suite au test , placez le temps de votre objectif dans cette colonne (case E3)   !!!</t>
    </r>
  </si>
  <si>
    <r>
      <t xml:space="preserve">Votre </t>
    </r>
    <r>
      <rPr>
        <b/>
        <sz val="10"/>
        <color theme="8" tint="-0.499984740745262"/>
        <rFont val="Arial"/>
        <family val="2"/>
      </rPr>
      <t>VMA</t>
    </r>
    <r>
      <rPr>
        <sz val="10"/>
        <color theme="8" tint="-0.499984740745262"/>
        <rFont val="Arial"/>
        <family val="2"/>
      </rPr>
      <t xml:space="preserve"> (Km/heure):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</si>
</sst>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dd\.mm\.yy"/>
    <numFmt numFmtId="166" formatCode="0.000"/>
    <numFmt numFmtId="167" formatCode="mm:ss.00"/>
    <numFmt numFmtId="168" formatCode="[$-F400]h:mm:ss\ AM/PM"/>
    <numFmt numFmtId="169" formatCode="hh:mm:ss;@"/>
  </numFmts>
  <fonts count="51" x14ac:knownFonts="1">
    <font>
      <sz val="10"/>
      <name val="Arial"/>
    </font>
    <font>
      <sz val="12"/>
      <color indexed="8"/>
      <name val="Times New Roman"/>
    </font>
    <font>
      <sz val="10"/>
      <color indexed="8"/>
      <name val="Arial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16"/>
      <name val="Times New Roman"/>
      <family val="1"/>
    </font>
    <font>
      <b/>
      <sz val="12"/>
      <color indexed="20"/>
      <name val="Times New Roman"/>
    </font>
    <font>
      <u/>
      <sz val="10"/>
      <color indexed="12"/>
      <name val="Arial"/>
    </font>
    <font>
      <sz val="8"/>
      <color indexed="81"/>
      <name val="Tahoma"/>
    </font>
    <font>
      <b/>
      <sz val="8"/>
      <color indexed="81"/>
      <name val="Tahoma"/>
    </font>
    <font>
      <b/>
      <sz val="10"/>
      <color indexed="81"/>
      <name val="Arial"/>
      <family val="2"/>
    </font>
    <font>
      <sz val="12"/>
      <name val="Verdana"/>
      <family val="2"/>
    </font>
    <font>
      <b/>
      <sz val="12"/>
      <name val="Verdana"/>
      <family val="2"/>
    </font>
    <font>
      <sz val="11"/>
      <name val="Arial"/>
    </font>
    <font>
      <b/>
      <sz val="12"/>
      <color indexed="8"/>
      <name val="Verdana"/>
      <family val="2"/>
    </font>
    <font>
      <sz val="8"/>
      <color indexed="81"/>
      <name val="Tahoma"/>
      <family val="2"/>
    </font>
    <font>
      <b/>
      <sz val="10"/>
      <name val="Verdana"/>
      <family val="2"/>
    </font>
    <font>
      <sz val="9"/>
      <name val="Verdana"/>
      <family val="2"/>
    </font>
    <font>
      <sz val="8"/>
      <color indexed="8"/>
      <name val="Arial Narrow"/>
      <family val="2"/>
    </font>
    <font>
      <sz val="8"/>
      <color indexed="81"/>
      <name val="Arial Narrow"/>
      <family val="2"/>
    </font>
    <font>
      <sz val="10"/>
      <name val="Arial"/>
      <family val="2"/>
    </font>
    <font>
      <sz val="8.75"/>
      <color indexed="8"/>
      <name val="Arial Narrow"/>
      <family val="2"/>
    </font>
    <font>
      <sz val="10"/>
      <name val="Arial Narrow"/>
      <family val="2"/>
    </font>
    <font>
      <sz val="10"/>
      <color indexed="8"/>
      <name val="Arial Narrow"/>
      <family val="2"/>
    </font>
    <font>
      <sz val="10"/>
      <color indexed="23"/>
      <name val="Arial Narrow"/>
      <family val="2"/>
    </font>
    <font>
      <sz val="9"/>
      <color indexed="8"/>
      <name val="Arial Narrow"/>
      <family val="2"/>
    </font>
    <font>
      <b/>
      <sz val="9"/>
      <color indexed="20"/>
      <name val="Arial Rounded MT Bold"/>
      <family val="2"/>
    </font>
    <font>
      <sz val="10"/>
      <color indexed="8"/>
      <name val="Symbol"/>
      <family val="1"/>
      <charset val="2"/>
    </font>
    <font>
      <b/>
      <sz val="11"/>
      <name val="HelveticaNeueLT Std"/>
      <family val="2"/>
    </font>
    <font>
      <b/>
      <sz val="14"/>
      <color indexed="22"/>
      <name val="HelveticaNeueLT Std"/>
      <family val="2"/>
    </font>
    <font>
      <sz val="10"/>
      <color indexed="8"/>
      <name val="Arial"/>
      <family val="2"/>
    </font>
    <font>
      <b/>
      <sz val="10"/>
      <color indexed="20"/>
      <name val="Arial"/>
      <family val="2"/>
    </font>
    <font>
      <i/>
      <sz val="10"/>
      <name val="Arial"/>
      <family val="2"/>
    </font>
    <font>
      <sz val="28"/>
      <color theme="0"/>
      <name val="Akzidenz-Grotesk BQ Condensed"/>
      <family val="3"/>
    </font>
    <font>
      <sz val="11"/>
      <color theme="8" tint="-0.499984740745262"/>
      <name val="HelveticaNeueLT Std"/>
      <family val="2"/>
    </font>
    <font>
      <b/>
      <sz val="14"/>
      <color theme="8" tint="-0.499984740745262"/>
      <name val="HelveticaNeueLT Std"/>
      <family val="2"/>
    </font>
    <font>
      <sz val="14"/>
      <color theme="8" tint="-0.499984740745262"/>
      <name val="HelveticaNeueLT Std"/>
      <family val="2"/>
    </font>
    <font>
      <b/>
      <sz val="11"/>
      <color theme="0"/>
      <name val="HelveticaNeueLT Std"/>
      <family val="2"/>
    </font>
    <font>
      <b/>
      <sz val="11"/>
      <color theme="8" tint="-0.499984740745262"/>
      <name val="HelveticaNeueLT Std"/>
      <family val="2"/>
    </font>
    <font>
      <b/>
      <sz val="10"/>
      <color theme="8" tint="-0.499984740745262"/>
      <name val="HelveticaNeueLT Std"/>
      <family val="2"/>
    </font>
    <font>
      <sz val="10"/>
      <color theme="8" tint="-0.499984740745262"/>
      <name val="HelveticaNeueLT Std"/>
      <family val="2"/>
    </font>
    <font>
      <b/>
      <sz val="10"/>
      <color theme="0"/>
      <name val="Arial"/>
      <family val="2"/>
    </font>
    <font>
      <b/>
      <sz val="10"/>
      <color theme="8" tint="-0.499984740745262"/>
      <name val="Arial"/>
      <family val="2"/>
    </font>
    <font>
      <sz val="10"/>
      <color theme="8" tint="-0.499984740745262"/>
      <name val="Arial"/>
      <family val="2"/>
    </font>
    <font>
      <b/>
      <sz val="10"/>
      <color theme="9" tint="-0.499984740745262"/>
      <name val="Arial"/>
      <family val="2"/>
    </font>
    <font>
      <sz val="10"/>
      <color theme="9" tint="-0.499984740745262"/>
      <name val="Arial"/>
      <family val="2"/>
    </font>
    <font>
      <b/>
      <sz val="8"/>
      <color theme="8" tint="-0.499984740745262"/>
      <name val="Cambria"/>
      <family val="1"/>
    </font>
    <font>
      <sz val="8"/>
      <color theme="8" tint="-0.499984740745262"/>
      <name val="HelveticaNeueLT Std"/>
      <family val="2"/>
    </font>
    <font>
      <sz val="14"/>
      <color theme="0"/>
      <name val="HelveticaNeueLT Std"/>
      <family val="2"/>
    </font>
    <font>
      <b/>
      <sz val="12"/>
      <color theme="8" tint="-0.499984740745262"/>
      <name val="HelveticaNeueLT Std"/>
      <family val="2"/>
    </font>
    <font>
      <b/>
      <sz val="14"/>
      <color theme="0"/>
      <name val="HelveticaNeueLT Std"/>
      <family val="2"/>
    </font>
  </fonts>
  <fills count="50">
    <fill>
      <patternFill patternType="none"/>
    </fill>
    <fill>
      <patternFill patternType="gray125"/>
    </fill>
    <fill>
      <patternFill patternType="solid">
        <fgColor indexed="47"/>
        <bgColor indexed="11"/>
      </patternFill>
    </fill>
    <fill>
      <patternFill patternType="solid">
        <fgColor indexed="42"/>
        <bgColor indexed="11"/>
      </patternFill>
    </fill>
    <fill>
      <patternFill patternType="solid">
        <fgColor indexed="46"/>
        <bgColor indexed="24"/>
      </patternFill>
    </fill>
    <fill>
      <patternFill patternType="solid">
        <fgColor indexed="40"/>
        <bgColor indexed="18"/>
      </patternFill>
    </fill>
    <fill>
      <patternFill patternType="solid">
        <fgColor indexed="10"/>
        <bgColor indexed="11"/>
      </patternFill>
    </fill>
    <fill>
      <patternFill patternType="solid">
        <fgColor indexed="23"/>
        <bgColor indexed="24"/>
      </patternFill>
    </fill>
    <fill>
      <patternFill patternType="solid">
        <fgColor indexed="52"/>
        <bgColor indexed="18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26"/>
      </patternFill>
    </fill>
    <fill>
      <patternFill patternType="solid">
        <fgColor indexed="1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23"/>
      </patternFill>
    </fill>
    <fill>
      <patternFill patternType="solid">
        <fgColor indexed="22"/>
        <bgColor indexed="26"/>
      </patternFill>
    </fill>
    <fill>
      <patternFill patternType="solid">
        <fgColor indexed="42"/>
        <bgColor indexed="26"/>
      </patternFill>
    </fill>
    <fill>
      <patternFill patternType="solid">
        <fgColor indexed="43"/>
        <bgColor indexed="23"/>
      </patternFill>
    </fill>
    <fill>
      <patternFill patternType="solid">
        <fgColor indexed="46"/>
        <bgColor indexed="19"/>
      </patternFill>
    </fill>
    <fill>
      <patternFill patternType="solid">
        <fgColor indexed="47"/>
        <bgColor indexed="26"/>
      </patternFill>
    </fill>
    <fill>
      <patternFill patternType="solid">
        <fgColor indexed="47"/>
        <bgColor indexed="23"/>
      </patternFill>
    </fill>
    <fill>
      <patternFill patternType="solid">
        <fgColor indexed="43"/>
        <bgColor indexed="12"/>
      </patternFill>
    </fill>
    <fill>
      <patternFill patternType="solid">
        <fgColor indexed="20"/>
        <bgColor indexed="12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lightDown">
        <fgColor theme="0"/>
        <bgColor theme="8" tint="0.79998168889431442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249977111117893"/>
        <bgColor indexed="13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18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18"/>
      </patternFill>
    </fill>
    <fill>
      <patternFill patternType="solid">
        <fgColor rgb="FF00FF00"/>
        <bgColor indexed="18"/>
      </patternFill>
    </fill>
    <fill>
      <patternFill patternType="solid">
        <fgColor rgb="FF00FF00"/>
        <bgColor indexed="17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15"/>
      </patternFill>
    </fill>
    <fill>
      <patternFill patternType="solid">
        <fgColor theme="8" tint="0.59999389629810485"/>
        <bgColor indexed="26"/>
      </patternFill>
    </fill>
    <fill>
      <patternFill patternType="solid">
        <fgColor rgb="FFFFFF00"/>
        <bgColor indexed="23"/>
      </patternFill>
    </fill>
    <fill>
      <patternFill patternType="solid">
        <fgColor rgb="FFFFC000"/>
        <bgColor indexed="26"/>
      </patternFill>
    </fill>
    <fill>
      <patternFill patternType="solid">
        <fgColor theme="8" tint="0.59999389629810485"/>
        <bgColor indexed="11"/>
      </patternFill>
    </fill>
    <fill>
      <patternFill patternType="solid">
        <fgColor theme="8" tint="0.59999389629810485"/>
        <bgColor indexed="24"/>
      </patternFill>
    </fill>
    <fill>
      <patternFill patternType="solid">
        <fgColor theme="8" tint="0.59999389629810485"/>
        <bgColor indexed="18"/>
      </patternFill>
    </fill>
    <fill>
      <patternFill patternType="solid">
        <fgColor theme="8" tint="0.59999389629810485"/>
        <bgColor indexed="8"/>
      </patternFill>
    </fill>
    <fill>
      <patternFill patternType="solid">
        <fgColor theme="8" tint="0.59999389629810485"/>
        <bgColor indexed="12"/>
      </patternFill>
    </fill>
    <fill>
      <patternFill patternType="solid">
        <fgColor theme="0"/>
        <bgColor indexed="15"/>
      </patternFill>
    </fill>
    <fill>
      <patternFill patternType="solid">
        <fgColor theme="0"/>
        <bgColor indexed="12"/>
      </patternFill>
    </fill>
  </fills>
  <borders count="93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ck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ck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ck">
        <color indexed="8"/>
      </right>
      <top/>
      <bottom/>
      <diagonal/>
    </border>
    <border>
      <left/>
      <right style="thick">
        <color indexed="8"/>
      </right>
      <top style="thin">
        <color indexed="8"/>
      </top>
      <bottom/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ck">
        <color indexed="8"/>
      </top>
      <bottom/>
      <diagonal/>
    </border>
    <border>
      <left/>
      <right style="thin">
        <color indexed="64"/>
      </right>
      <top/>
      <bottom style="medium">
        <color theme="8" tint="-0.499984740745262"/>
      </bottom>
      <diagonal/>
    </border>
    <border>
      <left style="thin">
        <color indexed="64"/>
      </left>
      <right style="thin">
        <color indexed="64"/>
      </right>
      <top/>
      <bottom style="medium">
        <color theme="8" tint="-0.499984740745262"/>
      </bottom>
      <diagonal/>
    </border>
    <border>
      <left style="thin">
        <color indexed="64"/>
      </left>
      <right/>
      <top/>
      <bottom style="medium">
        <color theme="8" tint="-0.499984740745262"/>
      </bottom>
      <diagonal/>
    </border>
    <border>
      <left style="thin">
        <color indexed="64"/>
      </left>
      <right style="medium">
        <color theme="8" tint="-0.499984740745262"/>
      </right>
      <top/>
      <bottom style="medium">
        <color theme="8" tint="-0.499984740745262"/>
      </bottom>
      <diagonal/>
    </border>
    <border>
      <left style="thin">
        <color indexed="64"/>
      </left>
      <right style="medium">
        <color theme="8" tint="-0.499984740745262"/>
      </right>
      <top/>
      <bottom style="thin">
        <color indexed="64"/>
      </bottom>
      <diagonal/>
    </border>
    <border>
      <left style="thin">
        <color indexed="64"/>
      </left>
      <right style="medium">
        <color theme="8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8" tint="-0.499984740745262"/>
      </right>
      <top style="thin">
        <color indexed="64"/>
      </top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/>
      <diagonal/>
    </border>
    <border>
      <left style="thin">
        <color theme="8" tint="-0.499984740745262"/>
      </left>
      <right/>
      <top style="thin">
        <color theme="8" tint="-0.499984740745262"/>
      </top>
      <bottom/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/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/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thin">
        <color theme="8" tint="-0.499984740745262"/>
      </left>
      <right/>
      <top/>
      <bottom style="thin">
        <color theme="8" tint="-0.499984740745262"/>
      </bottom>
      <diagonal/>
    </border>
    <border>
      <left/>
      <right style="thin">
        <color theme="8" tint="-0.499984740745262"/>
      </right>
      <top/>
      <bottom style="medium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/>
      <bottom style="medium">
        <color theme="8" tint="-0.499984740745262"/>
      </bottom>
      <diagonal/>
    </border>
    <border>
      <left style="thin">
        <color theme="8" tint="-0.499984740745262"/>
      </left>
      <right/>
      <top/>
      <bottom style="medium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/>
      <bottom style="medium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/>
      <bottom style="thin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 style="thin">
        <color theme="8" tint="-0.499984740745262"/>
      </top>
      <bottom/>
      <diagonal/>
    </border>
    <border>
      <left/>
      <right/>
      <top/>
      <bottom style="thin">
        <color theme="8" tint="-0.499984740745262"/>
      </bottom>
      <diagonal/>
    </border>
    <border>
      <left/>
      <right style="thin">
        <color theme="8" tint="-0.499984740745262"/>
      </right>
      <top/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medium">
        <color indexed="8"/>
      </right>
      <top/>
      <bottom/>
      <diagonal/>
    </border>
    <border>
      <left style="thin">
        <color theme="8" tint="-0.499984740745262"/>
      </left>
      <right style="medium">
        <color indexed="8"/>
      </right>
      <top/>
      <bottom style="thin">
        <color theme="8" tint="-0.499984740745262"/>
      </bottom>
      <diagonal/>
    </border>
    <border>
      <left style="medium">
        <color indexed="8"/>
      </left>
      <right style="medium">
        <color indexed="8"/>
      </right>
      <top/>
      <bottom style="thin">
        <color theme="8" tint="-0.499984740745262"/>
      </bottom>
      <diagonal/>
    </border>
    <border>
      <left style="medium">
        <color indexed="8"/>
      </left>
      <right/>
      <top/>
      <bottom style="thin">
        <color theme="8" tint="-0.499984740745262"/>
      </bottom>
      <diagonal/>
    </border>
    <border>
      <left/>
      <right/>
      <top style="thin">
        <color theme="8" tint="-0.499984740745262"/>
      </top>
      <bottom/>
      <diagonal/>
    </border>
    <border>
      <left style="thin">
        <color indexed="64"/>
      </left>
      <right/>
      <top/>
      <bottom style="thin">
        <color theme="8" tint="-0.499984740745262"/>
      </bottom>
      <diagonal/>
    </border>
    <border>
      <left/>
      <right style="thin">
        <color indexed="8"/>
      </right>
      <top/>
      <bottom style="thin">
        <color theme="8" tint="-0.499984740745262"/>
      </bottom>
      <diagonal/>
    </border>
    <border>
      <left/>
      <right style="thin">
        <color indexed="64"/>
      </right>
      <top/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indexed="8"/>
      </top>
      <bottom style="thin">
        <color indexed="8"/>
      </bottom>
      <diagonal/>
    </border>
    <border>
      <left/>
      <right style="thin">
        <color theme="8" tint="-0.499984740745262"/>
      </right>
      <top/>
      <bottom style="thin">
        <color indexed="8"/>
      </bottom>
      <diagonal/>
    </border>
    <border>
      <left/>
      <right style="thin">
        <color theme="8" tint="-0.499984740745262"/>
      </right>
      <top style="thin">
        <color indexed="8"/>
      </top>
      <bottom/>
      <diagonal/>
    </border>
    <border>
      <left/>
      <right style="thin">
        <color theme="8" tint="-0.499984740745262"/>
      </right>
      <top/>
      <bottom style="thick">
        <color indexed="8"/>
      </bottom>
      <diagonal/>
    </border>
    <border>
      <left/>
      <right style="thin">
        <color theme="8" tint="-0.499984740745262"/>
      </right>
      <top style="thick">
        <color indexed="8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indexed="8"/>
      </top>
      <bottom style="thin">
        <color theme="8" tint="-0.499984740745262"/>
      </bottom>
      <diagonal/>
    </border>
    <border>
      <left style="thick">
        <color indexed="8"/>
      </left>
      <right style="thin">
        <color indexed="8"/>
      </right>
      <top/>
      <bottom style="thin">
        <color theme="8" tint="-0.499984740745262"/>
      </bottom>
      <diagonal/>
    </border>
    <border>
      <left/>
      <right/>
      <top style="thin">
        <color indexed="8"/>
      </top>
      <bottom style="thin">
        <color theme="8" tint="-0.499984740745262"/>
      </bottom>
      <diagonal/>
    </border>
    <border>
      <left/>
      <right style="thin">
        <color indexed="8"/>
      </right>
      <top style="thin">
        <color indexed="8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thick">
        <color indexed="8"/>
      </top>
      <bottom/>
      <diagonal/>
    </border>
    <border>
      <left/>
      <right style="thick">
        <color indexed="8"/>
      </right>
      <top/>
      <bottom style="thin">
        <color theme="8" tint="-0.499984740745262"/>
      </bottom>
      <diagonal/>
    </border>
    <border>
      <left/>
      <right style="thick">
        <color indexed="8"/>
      </right>
      <top style="thin">
        <color indexed="8"/>
      </top>
      <bottom style="thin">
        <color theme="8" tint="-0.499984740745262"/>
      </bottom>
      <diagonal/>
    </border>
    <border>
      <left/>
      <right style="medium">
        <color indexed="64"/>
      </right>
      <top/>
      <bottom style="thin">
        <color theme="8" tint="-0.499984740745262"/>
      </bottom>
      <diagonal/>
    </border>
    <border>
      <left style="thin">
        <color indexed="8"/>
      </left>
      <right style="thin">
        <color theme="8" tint="-0.499984740745262"/>
      </right>
      <top/>
      <bottom/>
      <diagonal/>
    </border>
    <border>
      <left style="thin">
        <color indexed="8"/>
      </left>
      <right style="thin">
        <color theme="8" tint="-0.499984740745262"/>
      </right>
      <top style="thin">
        <color indexed="8"/>
      </top>
      <bottom/>
      <diagonal/>
    </border>
    <border>
      <left style="thin">
        <color indexed="8"/>
      </left>
      <right style="thin">
        <color theme="8" tint="-0.499984740745262"/>
      </right>
      <top/>
      <bottom style="thin">
        <color indexed="8"/>
      </bottom>
      <diagonal/>
    </border>
    <border>
      <left style="thin">
        <color indexed="8"/>
      </left>
      <right style="thin">
        <color theme="8" tint="-0.499984740745262"/>
      </right>
      <top style="thin">
        <color indexed="8"/>
      </top>
      <bottom style="thin">
        <color indexed="8"/>
      </bottom>
      <diagonal/>
    </border>
    <border>
      <left style="thin">
        <color theme="8" tint="-0.499984740745262"/>
      </left>
      <right style="thin">
        <color indexed="8"/>
      </right>
      <top style="thin">
        <color indexed="8"/>
      </top>
      <bottom/>
      <diagonal/>
    </border>
    <border>
      <left style="thick">
        <color indexed="8"/>
      </left>
      <right style="thin">
        <color theme="8" tint="-0.499984740745262"/>
      </right>
      <top style="thin">
        <color indexed="8"/>
      </top>
      <bottom/>
      <diagonal/>
    </border>
    <border>
      <left style="thin">
        <color theme="8" tint="-0.499984740745262"/>
      </left>
      <right style="thin">
        <color indexed="8"/>
      </right>
      <top/>
      <bottom style="thin">
        <color theme="8" tint="-0.499984740745262"/>
      </bottom>
      <diagonal/>
    </border>
    <border>
      <left style="thick">
        <color indexed="8"/>
      </left>
      <right style="thin">
        <color theme="8" tint="-0.499984740745262"/>
      </right>
      <top/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indexed="8"/>
      </bottom>
      <diagonal/>
    </border>
    <border>
      <left/>
      <right style="thick">
        <color indexed="8"/>
      </right>
      <top style="thin">
        <color theme="8" tint="-0.499984740745262"/>
      </top>
      <bottom style="thin">
        <color theme="8" tint="-0.499984740745262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392">
    <xf numFmtId="0" fontId="0" fillId="0" borderId="0" xfId="0"/>
    <xf numFmtId="0" fontId="1" fillId="0" borderId="0" xfId="0" applyFont="1"/>
    <xf numFmtId="0" fontId="2" fillId="0" borderId="0" xfId="0" applyFont="1" applyBorder="1"/>
    <xf numFmtId="0" fontId="11" fillId="0" borderId="0" xfId="0" applyFont="1"/>
    <xf numFmtId="0" fontId="0" fillId="0" borderId="0" xfId="0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14" fontId="0" fillId="0" borderId="0" xfId="0" applyNumberFormat="1"/>
    <xf numFmtId="0" fontId="0" fillId="0" borderId="0" xfId="0" applyAlignment="1">
      <alignment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center"/>
    </xf>
    <xf numFmtId="0" fontId="0" fillId="0" borderId="0" xfId="0" applyProtection="1"/>
    <xf numFmtId="0" fontId="1" fillId="0" borderId="0" xfId="0" applyFont="1" applyBorder="1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0" fillId="0" borderId="0" xfId="0" applyFill="1" applyBorder="1"/>
    <xf numFmtId="0" fontId="5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3" fillId="2" borderId="1" xfId="0" applyFont="1" applyFill="1" applyBorder="1" applyAlignment="1">
      <alignment horizontal="center" wrapText="1"/>
    </xf>
    <xf numFmtId="0" fontId="23" fillId="2" borderId="2" xfId="0" applyFont="1" applyFill="1" applyBorder="1" applyAlignment="1">
      <alignment horizontal="center" wrapText="1"/>
    </xf>
    <xf numFmtId="9" fontId="23" fillId="2" borderId="3" xfId="0" applyNumberFormat="1" applyFont="1" applyFill="1" applyBorder="1" applyAlignment="1">
      <alignment horizontal="center" wrapText="1"/>
    </xf>
    <xf numFmtId="0" fontId="0" fillId="24" borderId="0" xfId="0" applyFill="1" applyProtection="1">
      <protection locked="0"/>
    </xf>
    <xf numFmtId="0" fontId="0" fillId="0" borderId="0" xfId="0" applyFill="1"/>
    <xf numFmtId="0" fontId="12" fillId="0" borderId="0" xfId="0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/>
    </xf>
    <xf numFmtId="0" fontId="34" fillId="25" borderId="0" xfId="0" applyFont="1" applyFill="1" applyBorder="1"/>
    <xf numFmtId="0" fontId="34" fillId="0" borderId="0" xfId="0" applyFont="1" applyFill="1" applyBorder="1" applyAlignment="1">
      <alignment vertical="center"/>
    </xf>
    <xf numFmtId="0" fontId="35" fillId="0" borderId="0" xfId="0" applyFont="1" applyFill="1" applyBorder="1" applyAlignment="1" applyProtection="1">
      <alignment horizontal="left" indent="2"/>
    </xf>
    <xf numFmtId="0" fontId="36" fillId="0" borderId="0" xfId="0" applyFont="1" applyFill="1" applyBorder="1" applyAlignment="1" applyProtection="1">
      <alignment horizontal="left" indent="2"/>
    </xf>
    <xf numFmtId="0" fontId="37" fillId="0" borderId="0" xfId="1" applyFont="1" applyFill="1" applyBorder="1" applyAlignment="1" applyProtection="1">
      <alignment horizontal="center" vertical="center" wrapText="1"/>
    </xf>
    <xf numFmtId="0" fontId="37" fillId="0" borderId="0" xfId="1" applyFont="1" applyFill="1" applyBorder="1" applyAlignment="1" applyProtection="1">
      <alignment horizontal="center" vertical="center"/>
    </xf>
    <xf numFmtId="0" fontId="37" fillId="0" borderId="0" xfId="1" applyFont="1" applyFill="1" applyBorder="1" applyAlignment="1" applyProtection="1">
      <alignment horizontal="center" wrapText="1"/>
    </xf>
    <xf numFmtId="0" fontId="37" fillId="0" borderId="0" xfId="1" applyFont="1" applyFill="1" applyBorder="1" applyAlignment="1" applyProtection="1">
      <alignment horizontal="center"/>
    </xf>
    <xf numFmtId="0" fontId="35" fillId="0" borderId="0" xfId="0" applyFont="1" applyFill="1" applyBorder="1" applyAlignment="1" applyProtection="1">
      <alignment horizontal="left" wrapText="1" indent="2"/>
    </xf>
    <xf numFmtId="0" fontId="36" fillId="0" borderId="0" xfId="0" applyFont="1" applyFill="1" applyBorder="1" applyAlignment="1" applyProtection="1">
      <alignment horizontal="left" wrapText="1" indent="2"/>
    </xf>
    <xf numFmtId="0" fontId="34" fillId="0" borderId="0" xfId="1" applyFont="1" applyFill="1" applyBorder="1" applyAlignment="1" applyProtection="1">
      <alignment horizontal="center" vertical="center"/>
    </xf>
    <xf numFmtId="0" fontId="11" fillId="0" borderId="0" xfId="0" applyFont="1" applyFill="1"/>
    <xf numFmtId="0" fontId="35" fillId="25" borderId="0" xfId="0" applyFont="1" applyFill="1" applyBorder="1" applyAlignment="1" applyProtection="1">
      <alignment horizontal="left" wrapText="1" indent="3"/>
    </xf>
    <xf numFmtId="0" fontId="36" fillId="25" borderId="0" xfId="0" applyFont="1" applyFill="1" applyBorder="1" applyAlignment="1" applyProtection="1">
      <alignment horizontal="left" wrapText="1" indent="3"/>
    </xf>
    <xf numFmtId="0" fontId="12" fillId="25" borderId="0" xfId="0" applyFont="1" applyFill="1" applyBorder="1" applyAlignment="1" applyProtection="1">
      <alignment horizontal="center" wrapText="1"/>
    </xf>
    <xf numFmtId="0" fontId="0" fillId="25" borderId="0" xfId="0" applyFill="1" applyBorder="1" applyAlignment="1" applyProtection="1">
      <alignment horizontal="center"/>
    </xf>
    <xf numFmtId="0" fontId="35" fillId="0" borderId="0" xfId="0" applyFont="1" applyFill="1" applyBorder="1" applyAlignment="1" applyProtection="1">
      <alignment horizontal="left" vertical="center" wrapText="1" indent="2"/>
    </xf>
    <xf numFmtId="0" fontId="36" fillId="0" borderId="0" xfId="0" applyFont="1" applyFill="1" applyBorder="1" applyAlignment="1" applyProtection="1">
      <alignment horizontal="left" vertical="center" wrapText="1" indent="2"/>
    </xf>
    <xf numFmtId="0" fontId="41" fillId="29" borderId="18" xfId="0" applyFont="1" applyFill="1" applyBorder="1" applyAlignment="1" applyProtection="1">
      <alignment horizontal="center" vertical="center"/>
    </xf>
    <xf numFmtId="0" fontId="42" fillId="30" borderId="20" xfId="0" applyFont="1" applyFill="1" applyBorder="1" applyAlignment="1">
      <alignment horizontal="right" wrapText="1"/>
    </xf>
    <xf numFmtId="1" fontId="4" fillId="31" borderId="21" xfId="0" applyNumberFormat="1" applyFont="1" applyFill="1" applyBorder="1" applyAlignment="1">
      <alignment horizontal="center" vertical="center"/>
    </xf>
    <xf numFmtId="0" fontId="42" fillId="30" borderId="21" xfId="0" applyFont="1" applyFill="1" applyBorder="1" applyAlignment="1" applyProtection="1">
      <alignment horizontal="right" wrapText="1"/>
    </xf>
    <xf numFmtId="21" fontId="30" fillId="15" borderId="22" xfId="0" applyNumberFormat="1" applyFont="1" applyFill="1" applyBorder="1" applyAlignment="1" applyProtection="1">
      <alignment horizontal="center" vertical="center"/>
      <protection locked="0"/>
    </xf>
    <xf numFmtId="21" fontId="30" fillId="15" borderId="21" xfId="0" applyNumberFormat="1" applyFont="1" applyFill="1" applyBorder="1" applyAlignment="1" applyProtection="1">
      <alignment horizontal="center" vertical="center"/>
      <protection locked="0"/>
    </xf>
    <xf numFmtId="165" fontId="30" fillId="15" borderId="22" xfId="0" applyNumberFormat="1" applyFont="1" applyFill="1" applyBorder="1" applyAlignment="1" applyProtection="1">
      <alignment horizontal="center" vertical="center"/>
      <protection locked="0"/>
    </xf>
    <xf numFmtId="0" fontId="43" fillId="33" borderId="20" xfId="0" applyFont="1" applyFill="1" applyBorder="1" applyAlignment="1">
      <alignment horizontal="right" vertical="center"/>
    </xf>
    <xf numFmtId="45" fontId="30" fillId="31" borderId="21" xfId="0" applyNumberFormat="1" applyFont="1" applyFill="1" applyBorder="1" applyAlignment="1">
      <alignment horizontal="center" vertical="center"/>
    </xf>
    <xf numFmtId="1" fontId="30" fillId="31" borderId="21" xfId="0" applyNumberFormat="1" applyFont="1" applyFill="1" applyBorder="1" applyAlignment="1">
      <alignment horizontal="center" vertical="center"/>
    </xf>
    <xf numFmtId="0" fontId="43" fillId="25" borderId="21" xfId="0" applyFont="1" applyFill="1" applyBorder="1" applyAlignment="1" applyProtection="1">
      <alignment horizontal="right" wrapText="1"/>
    </xf>
    <xf numFmtId="45" fontId="30" fillId="31" borderId="22" xfId="0" applyNumberFormat="1" applyFont="1" applyFill="1" applyBorder="1" applyAlignment="1" applyProtection="1">
      <alignment horizontal="center" vertical="center"/>
    </xf>
    <xf numFmtId="2" fontId="30" fillId="31" borderId="21" xfId="0" applyNumberFormat="1" applyFont="1" applyFill="1" applyBorder="1" applyAlignment="1">
      <alignment horizontal="center" vertical="center"/>
    </xf>
    <xf numFmtId="2" fontId="4" fillId="31" borderId="21" xfId="0" applyNumberFormat="1" applyFont="1" applyFill="1" applyBorder="1" applyAlignment="1">
      <alignment horizontal="center" vertical="center"/>
    </xf>
    <xf numFmtId="164" fontId="30" fillId="31" borderId="21" xfId="0" applyNumberFormat="1" applyFont="1" applyFill="1" applyBorder="1" applyAlignment="1">
      <alignment horizontal="center" vertical="center"/>
    </xf>
    <xf numFmtId="1" fontId="30" fillId="16" borderId="21" xfId="0" applyNumberFormat="1" applyFont="1" applyFill="1" applyBorder="1" applyAlignment="1" applyProtection="1">
      <alignment horizontal="center" vertical="center"/>
      <protection locked="0"/>
    </xf>
    <xf numFmtId="0" fontId="30" fillId="15" borderId="21" xfId="0" applyFont="1" applyFill="1" applyBorder="1" applyAlignment="1" applyProtection="1">
      <alignment horizontal="center" vertical="center"/>
      <protection locked="0"/>
    </xf>
    <xf numFmtId="45" fontId="30" fillId="34" borderId="22" xfId="0" applyNumberFormat="1" applyFont="1" applyFill="1" applyBorder="1" applyAlignment="1" applyProtection="1">
      <alignment horizontal="center" vertical="center"/>
    </xf>
    <xf numFmtId="0" fontId="43" fillId="25" borderId="20" xfId="0" applyFont="1" applyFill="1" applyBorder="1" applyAlignment="1">
      <alignment horizontal="right" wrapText="1"/>
    </xf>
    <xf numFmtId="21" fontId="30" fillId="31" borderId="21" xfId="0" applyNumberFormat="1" applyFont="1" applyFill="1" applyBorder="1" applyAlignment="1">
      <alignment horizontal="center" vertical="center"/>
    </xf>
    <xf numFmtId="0" fontId="20" fillId="25" borderId="25" xfId="0" applyFont="1" applyFill="1" applyBorder="1"/>
    <xf numFmtId="0" fontId="20" fillId="25" borderId="26" xfId="0" applyFont="1" applyFill="1" applyBorder="1"/>
    <xf numFmtId="0" fontId="20" fillId="25" borderId="27" xfId="0" applyFont="1" applyFill="1" applyBorder="1"/>
    <xf numFmtId="0" fontId="20" fillId="25" borderId="0" xfId="0" applyFont="1" applyFill="1" applyBorder="1"/>
    <xf numFmtId="0" fontId="42" fillId="25" borderId="23" xfId="0" applyFont="1" applyFill="1" applyBorder="1" applyAlignment="1">
      <alignment horizontal="right" wrapText="1"/>
    </xf>
    <xf numFmtId="21" fontId="30" fillId="35" borderId="24" xfId="0" applyNumberFormat="1" applyFont="1" applyFill="1" applyBorder="1" applyAlignment="1">
      <alignment horizontal="center" vertical="center"/>
    </xf>
    <xf numFmtId="1" fontId="30" fillId="31" borderId="24" xfId="0" applyNumberFormat="1" applyFont="1" applyFill="1" applyBorder="1" applyAlignment="1">
      <alignment horizontal="center" vertical="center"/>
    </xf>
    <xf numFmtId="0" fontId="44" fillId="36" borderId="21" xfId="0" applyFont="1" applyFill="1" applyBorder="1" applyAlignment="1" applyProtection="1">
      <alignment horizontal="right" vertical="center" wrapText="1"/>
    </xf>
    <xf numFmtId="0" fontId="32" fillId="0" borderId="0" xfId="0" applyFont="1"/>
    <xf numFmtId="0" fontId="46" fillId="27" borderId="36" xfId="0" applyFont="1" applyFill="1" applyBorder="1" applyAlignment="1" applyProtection="1">
      <alignment horizontal="center" vertical="center" wrapText="1"/>
    </xf>
    <xf numFmtId="0" fontId="46" fillId="27" borderId="37" xfId="0" applyFont="1" applyFill="1" applyBorder="1" applyAlignment="1" applyProtection="1">
      <alignment horizontal="center" vertical="center" wrapText="1"/>
    </xf>
    <xf numFmtId="169" fontId="46" fillId="27" borderId="37" xfId="0" applyNumberFormat="1" applyFont="1" applyFill="1" applyBorder="1" applyAlignment="1" applyProtection="1">
      <alignment horizontal="center" vertical="center" wrapText="1"/>
    </xf>
    <xf numFmtId="1" fontId="46" fillId="27" borderId="38" xfId="0" applyNumberFormat="1" applyFont="1" applyFill="1" applyBorder="1" applyAlignment="1" applyProtection="1">
      <alignment horizontal="center" vertical="center" wrapText="1"/>
    </xf>
    <xf numFmtId="1" fontId="46" fillId="27" borderId="39" xfId="0" applyNumberFormat="1" applyFont="1" applyFill="1" applyBorder="1" applyAlignment="1" applyProtection="1">
      <alignment horizontal="center" vertical="center" wrapText="1"/>
    </xf>
    <xf numFmtId="168" fontId="46" fillId="27" borderId="37" xfId="0" applyNumberFormat="1" applyFont="1" applyFill="1" applyBorder="1" applyAlignment="1" applyProtection="1">
      <alignment horizontal="center" vertical="center" wrapText="1"/>
    </xf>
    <xf numFmtId="0" fontId="46" fillId="27" borderId="52" xfId="0" applyFont="1" applyFill="1" applyBorder="1" applyAlignment="1" applyProtection="1">
      <alignment horizontal="center" vertical="center" wrapText="1"/>
    </xf>
    <xf numFmtId="0" fontId="46" fillId="27" borderId="53" xfId="0" applyFont="1" applyFill="1" applyBorder="1" applyAlignment="1" applyProtection="1">
      <alignment horizontal="center" vertical="center" wrapText="1"/>
    </xf>
    <xf numFmtId="169" fontId="46" fillId="27" borderId="53" xfId="0" applyNumberFormat="1" applyFont="1" applyFill="1" applyBorder="1" applyAlignment="1" applyProtection="1">
      <alignment horizontal="center" vertical="center" wrapText="1"/>
    </xf>
    <xf numFmtId="1" fontId="46" fillId="27" borderId="54" xfId="0" applyNumberFormat="1" applyFont="1" applyFill="1" applyBorder="1" applyAlignment="1" applyProtection="1">
      <alignment horizontal="center" vertical="center" wrapText="1"/>
    </xf>
    <xf numFmtId="1" fontId="46" fillId="27" borderId="55" xfId="0" applyNumberFormat="1" applyFont="1" applyFill="1" applyBorder="1" applyAlignment="1" applyProtection="1">
      <alignment horizontal="center" vertical="center" wrapText="1"/>
    </xf>
    <xf numFmtId="168" fontId="46" fillId="27" borderId="53" xfId="0" applyNumberFormat="1" applyFont="1" applyFill="1" applyBorder="1" applyAlignment="1" applyProtection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40" fillId="25" borderId="50" xfId="0" applyFont="1" applyFill="1" applyBorder="1" applyAlignment="1">
      <alignment horizontal="center" vertical="center" wrapText="1"/>
    </xf>
    <xf numFmtId="1" fontId="40" fillId="25" borderId="43" xfId="0" applyNumberFormat="1" applyFont="1" applyFill="1" applyBorder="1" applyAlignment="1">
      <alignment horizontal="center" vertical="center"/>
    </xf>
    <xf numFmtId="0" fontId="40" fillId="25" borderId="43" xfId="0" applyFont="1" applyFill="1" applyBorder="1" applyAlignment="1">
      <alignment horizontal="center" vertical="center"/>
    </xf>
    <xf numFmtId="0" fontId="40" fillId="25" borderId="43" xfId="0" applyFont="1" applyFill="1" applyBorder="1" applyAlignment="1">
      <alignment horizontal="center" vertical="center" wrapText="1"/>
    </xf>
    <xf numFmtId="21" fontId="40" fillId="25" borderId="48" xfId="0" applyNumberFormat="1" applyFont="1" applyFill="1" applyBorder="1" applyAlignment="1">
      <alignment horizontal="center" vertical="center" wrapText="1"/>
    </xf>
    <xf numFmtId="1" fontId="47" fillId="25" borderId="43" xfId="0" applyNumberFormat="1" applyFont="1" applyFill="1" applyBorder="1" applyAlignment="1">
      <alignment horizontal="center" vertical="center"/>
    </xf>
    <xf numFmtId="0" fontId="40" fillId="25" borderId="43" xfId="0" applyFont="1" applyFill="1" applyBorder="1"/>
    <xf numFmtId="0" fontId="40" fillId="25" borderId="48" xfId="0" applyFont="1" applyFill="1" applyBorder="1"/>
    <xf numFmtId="2" fontId="40" fillId="25" borderId="43" xfId="0" applyNumberFormat="1" applyFont="1" applyFill="1" applyBorder="1" applyAlignment="1">
      <alignment horizontal="center" vertical="center"/>
    </xf>
    <xf numFmtId="21" fontId="40" fillId="25" borderId="43" xfId="0" applyNumberFormat="1" applyFont="1" applyFill="1" applyBorder="1" applyAlignment="1">
      <alignment horizontal="center" vertical="center" wrapText="1"/>
    </xf>
    <xf numFmtId="21" fontId="40" fillId="25" borderId="43" xfId="0" applyNumberFormat="1" applyFont="1" applyFill="1" applyBorder="1" applyAlignment="1">
      <alignment horizontal="center" vertical="center"/>
    </xf>
    <xf numFmtId="166" fontId="40" fillId="25" borderId="43" xfId="0" applyNumberFormat="1" applyFont="1" applyFill="1" applyBorder="1" applyAlignment="1">
      <alignment horizontal="center" vertical="center"/>
    </xf>
    <xf numFmtId="0" fontId="40" fillId="25" borderId="43" xfId="0" applyFont="1" applyFill="1" applyBorder="1" applyAlignment="1">
      <alignment horizontal="center"/>
    </xf>
    <xf numFmtId="1" fontId="40" fillId="25" borderId="43" xfId="0" applyNumberFormat="1" applyFont="1" applyFill="1" applyBorder="1" applyAlignment="1">
      <alignment horizontal="center"/>
    </xf>
    <xf numFmtId="2" fontId="40" fillId="25" borderId="44" xfId="0" applyNumberFormat="1" applyFont="1" applyFill="1" applyBorder="1" applyAlignment="1">
      <alignment horizontal="center" vertical="center"/>
    </xf>
    <xf numFmtId="0" fontId="40" fillId="25" borderId="44" xfId="0" applyFont="1" applyFill="1" applyBorder="1"/>
    <xf numFmtId="0" fontId="40" fillId="25" borderId="44" xfId="0" applyFont="1" applyFill="1" applyBorder="1" applyAlignment="1">
      <alignment horizontal="center"/>
    </xf>
    <xf numFmtId="0" fontId="40" fillId="25" borderId="45" xfId="0" applyFont="1" applyFill="1" applyBorder="1"/>
    <xf numFmtId="0" fontId="40" fillId="25" borderId="49" xfId="0" applyFont="1" applyFill="1" applyBorder="1" applyAlignment="1">
      <alignment horizontal="left" vertical="center" wrapText="1" indent="1"/>
    </xf>
    <xf numFmtId="0" fontId="40" fillId="25" borderId="46" xfId="0" applyFont="1" applyFill="1" applyBorder="1" applyAlignment="1">
      <alignment horizontal="left" vertical="center" indent="1"/>
    </xf>
    <xf numFmtId="0" fontId="40" fillId="25" borderId="47" xfId="0" applyFont="1" applyFill="1" applyBorder="1" applyAlignment="1">
      <alignment horizontal="left" vertical="center" indent="1"/>
    </xf>
    <xf numFmtId="0" fontId="48" fillId="0" borderId="0" xfId="0" applyFont="1" applyFill="1" applyBorder="1" applyAlignment="1">
      <alignment horizontal="center"/>
    </xf>
    <xf numFmtId="0" fontId="49" fillId="38" borderId="0" xfId="0" applyFont="1" applyFill="1" applyBorder="1" applyAlignment="1" applyProtection="1">
      <alignment horizontal="center"/>
      <protection locked="0"/>
    </xf>
    <xf numFmtId="0" fontId="39" fillId="25" borderId="46" xfId="0" applyFont="1" applyFill="1" applyBorder="1" applyAlignment="1">
      <alignment horizontal="center"/>
    </xf>
    <xf numFmtId="0" fontId="39" fillId="25" borderId="43" xfId="0" applyFont="1" applyFill="1" applyBorder="1" applyAlignment="1">
      <alignment horizontal="center"/>
    </xf>
    <xf numFmtId="0" fontId="39" fillId="25" borderId="48" xfId="0" applyFont="1" applyFill="1" applyBorder="1" applyAlignment="1">
      <alignment horizontal="center"/>
    </xf>
    <xf numFmtId="167" fontId="39" fillId="32" borderId="46" xfId="0" applyNumberFormat="1" applyFont="1" applyFill="1" applyBorder="1" applyAlignment="1" applyProtection="1">
      <alignment horizontal="center"/>
      <protection hidden="1"/>
    </xf>
    <xf numFmtId="167" fontId="39" fillId="32" borderId="43" xfId="0" applyNumberFormat="1" applyFont="1" applyFill="1" applyBorder="1" applyAlignment="1" applyProtection="1">
      <alignment horizontal="center"/>
      <protection hidden="1"/>
    </xf>
    <xf numFmtId="167" fontId="39" fillId="32" borderId="48" xfId="0" applyNumberFormat="1" applyFont="1" applyFill="1" applyBorder="1" applyAlignment="1" applyProtection="1">
      <alignment horizontal="center"/>
      <protection hidden="1"/>
    </xf>
    <xf numFmtId="167" fontId="39" fillId="32" borderId="44" xfId="0" applyNumberFormat="1" applyFont="1" applyFill="1" applyBorder="1" applyAlignment="1" applyProtection="1">
      <alignment horizontal="center"/>
      <protection hidden="1"/>
    </xf>
    <xf numFmtId="167" fontId="39" fillId="32" borderId="45" xfId="0" applyNumberFormat="1" applyFont="1" applyFill="1" applyBorder="1" applyAlignment="1" applyProtection="1">
      <alignment horizontal="center"/>
      <protection hidden="1"/>
    </xf>
    <xf numFmtId="0" fontId="38" fillId="39" borderId="59" xfId="0" applyFont="1" applyFill="1" applyBorder="1" applyAlignment="1">
      <alignment horizontal="center"/>
    </xf>
    <xf numFmtId="0" fontId="34" fillId="40" borderId="60" xfId="0" applyFont="1" applyFill="1" applyBorder="1"/>
    <xf numFmtId="0" fontId="38" fillId="39" borderId="60" xfId="0" applyFont="1" applyFill="1" applyBorder="1" applyAlignment="1">
      <alignment horizontal="center"/>
    </xf>
    <xf numFmtId="0" fontId="38" fillId="39" borderId="61" xfId="0" applyFont="1" applyFill="1" applyBorder="1" applyAlignment="1">
      <alignment horizontal="center"/>
    </xf>
    <xf numFmtId="167" fontId="39" fillId="32" borderId="60" xfId="0" applyNumberFormat="1" applyFont="1" applyFill="1" applyBorder="1" applyAlignment="1" applyProtection="1">
      <alignment horizontal="center"/>
      <protection hidden="1"/>
    </xf>
    <xf numFmtId="0" fontId="32" fillId="0" borderId="0" xfId="0" applyFont="1" applyBorder="1"/>
    <xf numFmtId="0" fontId="38" fillId="39" borderId="66" xfId="0" applyFont="1" applyFill="1" applyBorder="1" applyAlignment="1">
      <alignment horizontal="center"/>
    </xf>
    <xf numFmtId="0" fontId="38" fillId="40" borderId="0" xfId="0" applyFont="1" applyFill="1" applyBorder="1"/>
    <xf numFmtId="0" fontId="34" fillId="30" borderId="0" xfId="0" applyFont="1" applyFill="1" applyBorder="1"/>
    <xf numFmtId="0" fontId="38" fillId="32" borderId="0" xfId="0" applyFont="1" applyFill="1" applyBorder="1" applyAlignment="1">
      <alignment horizontal="center"/>
    </xf>
    <xf numFmtId="0" fontId="34" fillId="32" borderId="0" xfId="0" applyFont="1" applyFill="1" applyBorder="1" applyAlignment="1">
      <alignment horizontal="center"/>
    </xf>
    <xf numFmtId="0" fontId="38" fillId="41" borderId="0" xfId="0" applyFont="1" applyFill="1" applyBorder="1" applyAlignment="1" applyProtection="1">
      <alignment horizontal="center"/>
      <protection locked="0"/>
    </xf>
    <xf numFmtId="0" fontId="28" fillId="42" borderId="0" xfId="0" applyFont="1" applyFill="1" applyBorder="1"/>
    <xf numFmtId="169" fontId="28" fillId="42" borderId="0" xfId="0" applyNumberFormat="1" applyFont="1" applyFill="1" applyBorder="1" applyAlignment="1" applyProtection="1">
      <alignment horizontal="center"/>
      <protection hidden="1"/>
    </xf>
    <xf numFmtId="0" fontId="23" fillId="5" borderId="0" xfId="0" applyFont="1" applyFill="1" applyBorder="1" applyAlignment="1">
      <alignment horizontal="center" wrapText="1"/>
    </xf>
    <xf numFmtId="9" fontId="23" fillId="5" borderId="0" xfId="0" applyNumberFormat="1" applyFont="1" applyFill="1" applyBorder="1" applyAlignment="1">
      <alignment horizontal="center" wrapText="1"/>
    </xf>
    <xf numFmtId="0" fontId="23" fillId="3" borderId="0" xfId="0" applyFont="1" applyFill="1" applyBorder="1" applyAlignment="1">
      <alignment horizontal="center" wrapText="1"/>
    </xf>
    <xf numFmtId="0" fontId="38" fillId="43" borderId="30" xfId="0" applyFont="1" applyFill="1" applyBorder="1" applyAlignment="1">
      <alignment horizontal="center" wrapText="1"/>
    </xf>
    <xf numFmtId="0" fontId="38" fillId="43" borderId="69" xfId="0" applyFont="1" applyFill="1" applyBorder="1" applyAlignment="1">
      <alignment horizontal="center" wrapText="1"/>
    </xf>
    <xf numFmtId="0" fontId="38" fillId="46" borderId="71" xfId="0" applyFont="1" applyFill="1" applyBorder="1" applyAlignment="1">
      <alignment horizontal="center" vertical="center" wrapText="1"/>
    </xf>
    <xf numFmtId="0" fontId="38" fillId="46" borderId="70" xfId="0" applyFont="1" applyFill="1" applyBorder="1" applyAlignment="1">
      <alignment horizontal="center" vertical="center" wrapText="1"/>
    </xf>
    <xf numFmtId="0" fontId="38" fillId="39" borderId="46" xfId="0" applyFont="1" applyFill="1" applyBorder="1" applyAlignment="1">
      <alignment horizontal="center" vertical="center"/>
    </xf>
    <xf numFmtId="0" fontId="23" fillId="4" borderId="59" xfId="0" applyFont="1" applyFill="1" applyBorder="1" applyAlignment="1">
      <alignment horizontal="center" wrapText="1"/>
    </xf>
    <xf numFmtId="0" fontId="23" fillId="5" borderId="59" xfId="0" applyFont="1" applyFill="1" applyBorder="1" applyAlignment="1">
      <alignment horizontal="center" wrapText="1"/>
    </xf>
    <xf numFmtId="0" fontId="23" fillId="2" borderId="59" xfId="0" applyFont="1" applyFill="1" applyBorder="1" applyAlignment="1">
      <alignment horizontal="center" wrapText="1"/>
    </xf>
    <xf numFmtId="0" fontId="23" fillId="3" borderId="60" xfId="0" applyFont="1" applyFill="1" applyBorder="1" applyAlignment="1">
      <alignment horizontal="center" wrapText="1"/>
    </xf>
    <xf numFmtId="0" fontId="23" fillId="4" borderId="49" xfId="0" applyFont="1" applyFill="1" applyBorder="1" applyAlignment="1">
      <alignment horizontal="center" wrapText="1"/>
    </xf>
    <xf numFmtId="0" fontId="23" fillId="22" borderId="32" xfId="0" applyFont="1" applyFill="1" applyBorder="1" applyAlignment="1">
      <alignment horizontal="center" wrapText="1"/>
    </xf>
    <xf numFmtId="0" fontId="23" fillId="22" borderId="33" xfId="0" applyFont="1" applyFill="1" applyBorder="1" applyAlignment="1">
      <alignment horizontal="center" wrapText="1"/>
    </xf>
    <xf numFmtId="0" fontId="24" fillId="23" borderId="32" xfId="0" applyFont="1" applyFill="1" applyBorder="1" applyAlignment="1">
      <alignment wrapText="1"/>
    </xf>
    <xf numFmtId="0" fontId="24" fillId="23" borderId="80" xfId="0" applyFont="1" applyFill="1" applyBorder="1" applyAlignment="1">
      <alignment wrapText="1"/>
    </xf>
    <xf numFmtId="0" fontId="23" fillId="22" borderId="34" xfId="0" applyFont="1" applyFill="1" applyBorder="1" applyAlignment="1">
      <alignment horizontal="center" wrapText="1"/>
    </xf>
    <xf numFmtId="0" fontId="23" fillId="22" borderId="80" xfId="0" applyFont="1" applyFill="1" applyBorder="1" applyAlignment="1">
      <alignment horizontal="center" wrapText="1"/>
    </xf>
    <xf numFmtId="0" fontId="23" fillId="5" borderId="49" xfId="0" applyFont="1" applyFill="1" applyBorder="1" applyAlignment="1">
      <alignment horizontal="center" wrapText="1"/>
    </xf>
    <xf numFmtId="0" fontId="23" fillId="5" borderId="60" xfId="0" applyFont="1" applyFill="1" applyBorder="1" applyAlignment="1">
      <alignment horizontal="center" wrapText="1"/>
    </xf>
    <xf numFmtId="0" fontId="38" fillId="46" borderId="49" xfId="0" applyFont="1" applyFill="1" applyBorder="1" applyAlignment="1">
      <alignment horizontal="center" vertical="center" wrapText="1"/>
    </xf>
    <xf numFmtId="0" fontId="38" fillId="46" borderId="72" xfId="0" applyFont="1" applyFill="1" applyBorder="1" applyAlignment="1">
      <alignment horizontal="center" vertical="center" wrapText="1"/>
    </xf>
    <xf numFmtId="0" fontId="42" fillId="49" borderId="92" xfId="0" applyFont="1" applyFill="1" applyBorder="1" applyAlignment="1">
      <alignment horizontal="center" vertical="center" wrapText="1"/>
    </xf>
    <xf numFmtId="0" fontId="33" fillId="24" borderId="0" xfId="0" applyFont="1" applyFill="1" applyBorder="1" applyAlignment="1" applyProtection="1">
      <alignment horizontal="left"/>
      <protection locked="0"/>
    </xf>
    <xf numFmtId="0" fontId="35" fillId="24" borderId="0" xfId="0" applyFont="1" applyFill="1" applyBorder="1" applyAlignment="1" applyProtection="1">
      <alignment horizontal="left" vertical="center" wrapText="1" indent="2"/>
    </xf>
    <xf numFmtId="0" fontId="36" fillId="24" borderId="0" xfId="0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vertical="center" wrapText="1"/>
    </xf>
    <xf numFmtId="0" fontId="34" fillId="25" borderId="21" xfId="0" applyFont="1" applyFill="1" applyBorder="1" applyAlignment="1" applyProtection="1">
      <alignment horizontal="center" vertical="center"/>
    </xf>
    <xf numFmtId="0" fontId="34" fillId="25" borderId="22" xfId="0" applyFont="1" applyFill="1" applyBorder="1" applyAlignment="1" applyProtection="1">
      <alignment horizontal="center" vertical="center"/>
    </xf>
    <xf numFmtId="0" fontId="12" fillId="9" borderId="15" xfId="0" applyFont="1" applyFill="1" applyBorder="1" applyAlignment="1" applyProtection="1">
      <alignment horizontal="center" wrapText="1"/>
    </xf>
    <xf numFmtId="0" fontId="12" fillId="9" borderId="0" xfId="0" applyFont="1" applyFill="1" applyBorder="1" applyAlignment="1" applyProtection="1">
      <alignment horizontal="center" wrapText="1"/>
    </xf>
    <xf numFmtId="0" fontId="0" fillId="9" borderId="0" xfId="0" applyFill="1" applyBorder="1" applyAlignment="1" applyProtection="1">
      <alignment horizontal="center"/>
    </xf>
    <xf numFmtId="0" fontId="0" fillId="9" borderId="16" xfId="0" applyFill="1" applyBorder="1" applyAlignment="1" applyProtection="1">
      <alignment horizontal="center"/>
    </xf>
    <xf numFmtId="0" fontId="37" fillId="26" borderId="0" xfId="1" applyFont="1" applyFill="1" applyBorder="1" applyAlignment="1" applyProtection="1">
      <alignment horizontal="center" vertical="center" wrapText="1"/>
    </xf>
    <xf numFmtId="0" fontId="37" fillId="26" borderId="0" xfId="1" applyFont="1" applyFill="1" applyBorder="1" applyAlignment="1" applyProtection="1">
      <alignment horizontal="center" vertical="center"/>
    </xf>
    <xf numFmtId="0" fontId="38" fillId="9" borderId="20" xfId="0" applyFont="1" applyFill="1" applyBorder="1" applyAlignment="1" applyProtection="1">
      <alignment horizontal="center" vertical="center"/>
    </xf>
    <xf numFmtId="0" fontId="38" fillId="25" borderId="21" xfId="0" applyFont="1" applyFill="1" applyBorder="1" applyAlignment="1" applyProtection="1">
      <alignment horizontal="center" vertical="center"/>
    </xf>
    <xf numFmtId="0" fontId="38" fillId="27" borderId="18" xfId="0" applyFont="1" applyFill="1" applyBorder="1" applyAlignment="1" applyProtection="1">
      <alignment horizontal="center" vertical="center"/>
    </xf>
    <xf numFmtId="0" fontId="38" fillId="27" borderId="17" xfId="0" applyFont="1" applyFill="1" applyBorder="1" applyAlignment="1" applyProtection="1">
      <alignment horizontal="center" vertical="center"/>
    </xf>
    <xf numFmtId="0" fontId="42" fillId="30" borderId="20" xfId="0" applyFont="1" applyFill="1" applyBorder="1" applyAlignment="1">
      <alignment horizontal="right" wrapText="1"/>
    </xf>
    <xf numFmtId="0" fontId="42" fillId="30" borderId="21" xfId="0" applyFont="1" applyFill="1" applyBorder="1" applyAlignment="1">
      <alignment horizontal="right" wrapText="1"/>
    </xf>
    <xf numFmtId="0" fontId="41" fillId="28" borderId="17" xfId="0" applyFont="1" applyFill="1" applyBorder="1" applyAlignment="1" applyProtection="1">
      <alignment horizontal="center" vertical="center" wrapText="1"/>
    </xf>
    <xf numFmtId="0" fontId="41" fillId="28" borderId="18" xfId="0" applyFont="1" applyFill="1" applyBorder="1" applyAlignment="1" applyProtection="1">
      <alignment horizontal="center" vertical="center" wrapText="1"/>
    </xf>
    <xf numFmtId="0" fontId="41" fillId="28" borderId="19" xfId="0" applyFont="1" applyFill="1" applyBorder="1" applyAlignment="1" applyProtection="1">
      <alignment horizontal="center" vertical="center" wrapText="1"/>
    </xf>
    <xf numFmtId="0" fontId="30" fillId="32" borderId="21" xfId="0" applyFont="1" applyFill="1" applyBorder="1" applyAlignment="1" applyProtection="1">
      <alignment horizontal="fill"/>
    </xf>
    <xf numFmtId="0" fontId="20" fillId="25" borderId="21" xfId="0" applyFont="1" applyFill="1" applyBorder="1" applyAlignment="1" applyProtection="1"/>
    <xf numFmtId="0" fontId="44" fillId="36" borderId="21" xfId="0" applyFont="1" applyFill="1" applyBorder="1" applyAlignment="1" applyProtection="1">
      <alignment horizontal="right" wrapText="1"/>
    </xf>
    <xf numFmtId="0" fontId="45" fillId="36" borderId="22" xfId="0" applyFont="1" applyFill="1" applyBorder="1" applyAlignment="1">
      <alignment wrapText="1"/>
    </xf>
    <xf numFmtId="0" fontId="42" fillId="25" borderId="21" xfId="0" applyFont="1" applyFill="1" applyBorder="1" applyAlignment="1" applyProtection="1">
      <alignment horizontal="center" vertical="center" wrapText="1"/>
    </xf>
    <xf numFmtId="0" fontId="43" fillId="25" borderId="22" xfId="0" applyFont="1" applyFill="1" applyBorder="1" applyAlignment="1">
      <alignment horizontal="center" vertical="center" wrapText="1"/>
    </xf>
    <xf numFmtId="0" fontId="43" fillId="25" borderId="2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39" fillId="25" borderId="50" xfId="0" applyFont="1" applyFill="1" applyBorder="1" applyAlignment="1">
      <alignment horizontal="center" vertical="center" wrapText="1"/>
    </xf>
    <xf numFmtId="0" fontId="39" fillId="25" borderId="51" xfId="0" applyFont="1" applyFill="1" applyBorder="1" applyAlignment="1">
      <alignment horizontal="center" vertical="center" wrapText="1"/>
    </xf>
    <xf numFmtId="0" fontId="35" fillId="24" borderId="0" xfId="0" applyFont="1" applyFill="1" applyBorder="1" applyAlignment="1">
      <alignment horizontal="center" vertical="center" wrapText="1"/>
    </xf>
    <xf numFmtId="0" fontId="38" fillId="46" borderId="91" xfId="0" applyFont="1" applyFill="1" applyBorder="1" applyAlignment="1">
      <alignment horizontal="center" vertical="center" wrapText="1"/>
    </xf>
    <xf numFmtId="0" fontId="38" fillId="46" borderId="79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wrapText="1"/>
    </xf>
    <xf numFmtId="0" fontId="23" fillId="2" borderId="12" xfId="0" applyFont="1" applyFill="1" applyBorder="1" applyAlignment="1">
      <alignment horizontal="center" wrapText="1"/>
    </xf>
    <xf numFmtId="9" fontId="23" fillId="3" borderId="13" xfId="0" applyNumberFormat="1" applyFont="1" applyFill="1" applyBorder="1" applyAlignment="1">
      <alignment horizontal="center" wrapText="1"/>
    </xf>
    <xf numFmtId="9" fontId="23" fillId="3" borderId="60" xfId="0" applyNumberFormat="1" applyFont="1" applyFill="1" applyBorder="1" applyAlignment="1">
      <alignment horizontal="center" wrapText="1"/>
    </xf>
    <xf numFmtId="9" fontId="23" fillId="3" borderId="14" xfId="0" applyNumberFormat="1" applyFont="1" applyFill="1" applyBorder="1" applyAlignment="1">
      <alignment horizontal="center" wrapText="1"/>
    </xf>
    <xf numFmtId="9" fontId="23" fillId="3" borderId="79" xfId="0" applyNumberFormat="1" applyFont="1" applyFill="1" applyBorder="1" applyAlignment="1">
      <alignment horizontal="center" wrapText="1"/>
    </xf>
    <xf numFmtId="0" fontId="23" fillId="4" borderId="13" xfId="0" applyFont="1" applyFill="1" applyBorder="1" applyAlignment="1">
      <alignment horizontal="center" wrapText="1"/>
    </xf>
    <xf numFmtId="0" fontId="23" fillId="4" borderId="60" xfId="0" applyFont="1" applyFill="1" applyBorder="1" applyAlignment="1">
      <alignment horizontal="center" wrapText="1"/>
    </xf>
    <xf numFmtId="0" fontId="23" fillId="4" borderId="14" xfId="0" applyFont="1" applyFill="1" applyBorder="1" applyAlignment="1">
      <alignment horizontal="center" wrapText="1"/>
    </xf>
    <xf numFmtId="0" fontId="23" fillId="4" borderId="79" xfId="0" applyFont="1" applyFill="1" applyBorder="1" applyAlignment="1">
      <alignment horizontal="center" wrapText="1"/>
    </xf>
    <xf numFmtId="0" fontId="50" fillId="0" borderId="0" xfId="0" applyFont="1" applyFill="1" applyBorder="1" applyAlignment="1">
      <alignment horizontal="right"/>
    </xf>
    <xf numFmtId="0" fontId="38" fillId="39" borderId="62" xfId="0" applyFont="1" applyFill="1" applyBorder="1" applyAlignment="1">
      <alignment horizontal="center"/>
    </xf>
    <xf numFmtId="0" fontId="38" fillId="39" borderId="28" xfId="0" applyFont="1" applyFill="1" applyBorder="1" applyAlignment="1">
      <alignment horizontal="center"/>
    </xf>
    <xf numFmtId="0" fontId="38" fillId="39" borderId="29" xfId="0" applyFont="1" applyFill="1" applyBorder="1" applyAlignment="1">
      <alignment horizontal="center"/>
    </xf>
    <xf numFmtId="0" fontId="34" fillId="39" borderId="63" xfId="0" applyFont="1" applyFill="1" applyBorder="1" applyAlignment="1">
      <alignment horizontal="center"/>
    </xf>
    <xf numFmtId="0" fontId="34" fillId="39" borderId="64" xfId="0" applyFont="1" applyFill="1" applyBorder="1" applyAlignment="1">
      <alignment horizontal="center"/>
    </xf>
    <xf numFmtId="0" fontId="34" fillId="39" borderId="65" xfId="0" applyFont="1" applyFill="1" applyBorder="1" applyAlignment="1">
      <alignment horizontal="center"/>
    </xf>
    <xf numFmtId="0" fontId="34" fillId="46" borderId="73" xfId="0" applyFont="1" applyFill="1" applyBorder="1" applyAlignment="1">
      <alignment wrapText="1"/>
    </xf>
    <xf numFmtId="0" fontId="34" fillId="46" borderId="74" xfId="0" applyFont="1" applyFill="1" applyBorder="1" applyAlignment="1">
      <alignment wrapText="1"/>
    </xf>
    <xf numFmtId="0" fontId="38" fillId="43" borderId="27" xfId="0" applyFont="1" applyFill="1" applyBorder="1" applyAlignment="1">
      <alignment horizontal="center" vertical="center" wrapText="1"/>
    </xf>
    <xf numFmtId="0" fontId="38" fillId="43" borderId="60" xfId="0" applyFont="1" applyFill="1" applyBorder="1" applyAlignment="1">
      <alignment horizontal="center" vertical="center" wrapText="1"/>
    </xf>
    <xf numFmtId="0" fontId="38" fillId="43" borderId="67" xfId="0" applyFont="1" applyFill="1" applyBorder="1" applyAlignment="1">
      <alignment horizontal="center" vertical="center" wrapText="1"/>
    </xf>
    <xf numFmtId="0" fontId="38" fillId="43" borderId="49" xfId="0" applyFont="1" applyFill="1" applyBorder="1" applyAlignment="1">
      <alignment horizontal="center" vertical="center" wrapText="1"/>
    </xf>
    <xf numFmtId="0" fontId="38" fillId="44" borderId="13" xfId="0" applyFont="1" applyFill="1" applyBorder="1" applyAlignment="1">
      <alignment horizontal="center" wrapText="1"/>
    </xf>
    <xf numFmtId="0" fontId="38" fillId="44" borderId="60" xfId="0" applyFont="1" applyFill="1" applyBorder="1" applyAlignment="1">
      <alignment horizontal="center" wrapText="1"/>
    </xf>
    <xf numFmtId="0" fontId="38" fillId="45" borderId="0" xfId="0" applyFont="1" applyFill="1" applyBorder="1" applyAlignment="1">
      <alignment horizontal="center" vertical="center" wrapText="1"/>
    </xf>
    <xf numFmtId="0" fontId="38" fillId="45" borderId="60" xfId="0" applyFont="1" applyFill="1" applyBorder="1" applyAlignment="1">
      <alignment horizontal="center" vertical="center" wrapText="1"/>
    </xf>
    <xf numFmtId="0" fontId="38" fillId="45" borderId="59" xfId="0" applyFont="1" applyFill="1" applyBorder="1" applyAlignment="1">
      <alignment horizontal="center" vertical="center" wrapText="1"/>
    </xf>
    <xf numFmtId="0" fontId="38" fillId="45" borderId="49" xfId="0" applyFont="1" applyFill="1" applyBorder="1" applyAlignment="1">
      <alignment horizontal="center" vertical="center" wrapText="1"/>
    </xf>
    <xf numFmtId="0" fontId="38" fillId="47" borderId="16" xfId="0" applyFont="1" applyFill="1" applyBorder="1" applyAlignment="1">
      <alignment horizontal="center" vertical="center" wrapText="1"/>
    </xf>
    <xf numFmtId="0" fontId="38" fillId="47" borderId="82" xfId="0" applyFont="1" applyFill="1" applyBorder="1" applyAlignment="1">
      <alignment horizontal="center" vertical="center" wrapText="1"/>
    </xf>
    <xf numFmtId="0" fontId="38" fillId="44" borderId="68" xfId="0" applyFont="1" applyFill="1" applyBorder="1" applyAlignment="1">
      <alignment horizontal="center" wrapText="1"/>
    </xf>
    <xf numFmtId="0" fontId="38" fillId="44" borderId="49" xfId="0" applyFont="1" applyFill="1" applyBorder="1" applyAlignment="1">
      <alignment horizontal="center" wrapText="1"/>
    </xf>
    <xf numFmtId="0" fontId="23" fillId="5" borderId="13" xfId="0" applyFont="1" applyFill="1" applyBorder="1" applyAlignment="1">
      <alignment horizontal="center" wrapText="1"/>
    </xf>
    <xf numFmtId="0" fontId="23" fillId="5" borderId="11" xfId="0" applyFont="1" applyFill="1" applyBorder="1" applyAlignment="1">
      <alignment horizontal="center" wrapText="1"/>
    </xf>
    <xf numFmtId="0" fontId="23" fillId="5" borderId="83" xfId="0" applyFont="1" applyFill="1" applyBorder="1" applyAlignment="1">
      <alignment horizontal="center" wrapText="1"/>
    </xf>
    <xf numFmtId="0" fontId="23" fillId="22" borderId="31" xfId="0" applyFont="1" applyFill="1" applyBorder="1" applyAlignment="1">
      <alignment horizontal="center" wrapText="1"/>
    </xf>
    <xf numFmtId="0" fontId="23" fillId="22" borderId="35" xfId="0" applyFont="1" applyFill="1" applyBorder="1" applyAlignment="1">
      <alignment horizontal="center" wrapText="1"/>
    </xf>
    <xf numFmtId="0" fontId="23" fillId="3" borderId="4" xfId="0" applyFont="1" applyFill="1" applyBorder="1" applyAlignment="1">
      <alignment horizontal="center" wrapText="1"/>
    </xf>
    <xf numFmtId="0" fontId="23" fillId="3" borderId="71" xfId="0" applyFont="1" applyFill="1" applyBorder="1" applyAlignment="1">
      <alignment horizontal="center" wrapText="1"/>
    </xf>
    <xf numFmtId="0" fontId="23" fillId="4" borderId="4" xfId="0" applyFont="1" applyFill="1" applyBorder="1" applyAlignment="1">
      <alignment horizontal="center" wrapText="1"/>
    </xf>
    <xf numFmtId="0" fontId="23" fillId="4" borderId="71" xfId="0" applyFont="1" applyFill="1" applyBorder="1" applyAlignment="1">
      <alignment horizontal="center" wrapText="1"/>
    </xf>
    <xf numFmtId="0" fontId="23" fillId="5" borderId="4" xfId="0" applyFont="1" applyFill="1" applyBorder="1" applyAlignment="1">
      <alignment horizontal="center" wrapText="1"/>
    </xf>
    <xf numFmtId="0" fontId="23" fillId="5" borderId="5" xfId="0" applyFont="1" applyFill="1" applyBorder="1" applyAlignment="1">
      <alignment horizontal="center" wrapText="1"/>
    </xf>
    <xf numFmtId="0" fontId="23" fillId="5" borderId="85" xfId="0" applyFont="1" applyFill="1" applyBorder="1" applyAlignment="1">
      <alignment horizontal="center" wrapText="1"/>
    </xf>
    <xf numFmtId="9" fontId="23" fillId="3" borderId="9" xfId="0" applyNumberFormat="1" applyFont="1" applyFill="1" applyBorder="1" applyAlignment="1">
      <alignment horizontal="center" wrapText="1"/>
    </xf>
    <xf numFmtId="9" fontId="23" fillId="3" borderId="70" xfId="0" applyNumberFormat="1" applyFont="1" applyFill="1" applyBorder="1" applyAlignment="1">
      <alignment horizontal="center" wrapText="1"/>
    </xf>
    <xf numFmtId="9" fontId="23" fillId="4" borderId="9" xfId="0" applyNumberFormat="1" applyFont="1" applyFill="1" applyBorder="1" applyAlignment="1">
      <alignment horizontal="center" wrapText="1"/>
    </xf>
    <xf numFmtId="9" fontId="23" fillId="4" borderId="70" xfId="0" applyNumberFormat="1" applyFont="1" applyFill="1" applyBorder="1" applyAlignment="1">
      <alignment horizontal="center" wrapText="1"/>
    </xf>
    <xf numFmtId="0" fontId="23" fillId="5" borderId="9" xfId="0" applyFont="1" applyFill="1" applyBorder="1" applyAlignment="1">
      <alignment horizontal="center" wrapText="1"/>
    </xf>
    <xf numFmtId="0" fontId="23" fillId="5" borderId="10" xfId="0" applyFont="1" applyFill="1" applyBorder="1" applyAlignment="1">
      <alignment horizontal="center" wrapText="1"/>
    </xf>
    <xf numFmtId="0" fontId="23" fillId="5" borderId="86" xfId="0" applyFont="1" applyFill="1" applyBorder="1" applyAlignment="1">
      <alignment horizontal="center" wrapText="1"/>
    </xf>
    <xf numFmtId="0" fontId="23" fillId="3" borderId="7" xfId="0" applyFont="1" applyFill="1" applyBorder="1" applyAlignment="1">
      <alignment horizontal="center" wrapText="1"/>
    </xf>
    <xf numFmtId="0" fontId="23" fillId="3" borderId="72" xfId="0" applyFont="1" applyFill="1" applyBorder="1" applyAlignment="1">
      <alignment horizontal="center" wrapText="1"/>
    </xf>
    <xf numFmtId="0" fontId="23" fillId="4" borderId="7" xfId="0" applyFont="1" applyFill="1" applyBorder="1" applyAlignment="1">
      <alignment horizontal="center" wrapText="1"/>
    </xf>
    <xf numFmtId="0" fontId="23" fillId="4" borderId="72" xfId="0" applyFont="1" applyFill="1" applyBorder="1" applyAlignment="1">
      <alignment horizontal="center" wrapText="1"/>
    </xf>
    <xf numFmtId="0" fontId="23" fillId="5" borderId="7" xfId="0" applyFont="1" applyFill="1" applyBorder="1" applyAlignment="1">
      <alignment horizontal="center" wrapText="1"/>
    </xf>
    <xf numFmtId="0" fontId="23" fillId="5" borderId="8" xfId="0" applyFont="1" applyFill="1" applyBorder="1" applyAlignment="1">
      <alignment horizontal="center" wrapText="1"/>
    </xf>
    <xf numFmtId="0" fontId="23" fillId="5" borderId="84" xfId="0" applyFont="1" applyFill="1" applyBorder="1" applyAlignment="1">
      <alignment horizontal="center" wrapText="1"/>
    </xf>
    <xf numFmtId="0" fontId="23" fillId="5" borderId="59" xfId="0" applyFont="1" applyFill="1" applyBorder="1" applyAlignment="1">
      <alignment horizontal="center" wrapText="1"/>
    </xf>
    <xf numFmtId="0" fontId="23" fillId="5" borderId="49" xfId="0" applyFont="1" applyFill="1" applyBorder="1" applyAlignment="1">
      <alignment horizontal="center" wrapText="1"/>
    </xf>
    <xf numFmtId="0" fontId="38" fillId="46" borderId="71" xfId="0" applyFont="1" applyFill="1" applyBorder="1" applyAlignment="1">
      <alignment horizontal="center" vertical="center" wrapText="1"/>
    </xf>
    <xf numFmtId="0" fontId="38" fillId="46" borderId="7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wrapText="1"/>
    </xf>
    <xf numFmtId="0" fontId="23" fillId="2" borderId="77" xfId="0" applyFont="1" applyFill="1" applyBorder="1" applyAlignment="1">
      <alignment horizontal="center" wrapText="1"/>
    </xf>
    <xf numFmtId="0" fontId="23" fillId="3" borderId="78" xfId="0" applyFont="1" applyFill="1" applyBorder="1" applyAlignment="1">
      <alignment horizontal="center" wrapText="1"/>
    </xf>
    <xf numFmtId="0" fontId="23" fillId="3" borderId="75" xfId="0" applyFont="1" applyFill="1" applyBorder="1" applyAlignment="1">
      <alignment horizontal="center" wrapText="1"/>
    </xf>
    <xf numFmtId="0" fontId="23" fillId="5" borderId="0" xfId="0" applyFont="1" applyFill="1" applyBorder="1" applyAlignment="1">
      <alignment horizontal="center" wrapText="1"/>
    </xf>
    <xf numFmtId="0" fontId="23" fillId="5" borderId="60" xfId="0" applyFont="1" applyFill="1" applyBorder="1" applyAlignment="1">
      <alignment horizontal="center" wrapText="1"/>
    </xf>
    <xf numFmtId="0" fontId="23" fillId="3" borderId="68" xfId="0" applyFont="1" applyFill="1" applyBorder="1" applyAlignment="1">
      <alignment horizontal="center" wrapText="1"/>
    </xf>
    <xf numFmtId="0" fontId="23" fillId="3" borderId="49" xfId="0" applyFont="1" applyFill="1" applyBorder="1" applyAlignment="1">
      <alignment horizontal="center" wrapText="1"/>
    </xf>
    <xf numFmtId="0" fontId="23" fillId="4" borderId="68" xfId="0" applyFont="1" applyFill="1" applyBorder="1" applyAlignment="1">
      <alignment horizontal="center" wrapText="1"/>
    </xf>
    <xf numFmtId="0" fontId="23" fillId="4" borderId="49" xfId="0" applyFont="1" applyFill="1" applyBorder="1" applyAlignment="1">
      <alignment horizontal="center" wrapText="1"/>
    </xf>
    <xf numFmtId="0" fontId="23" fillId="22" borderId="33" xfId="0" applyFont="1" applyFill="1" applyBorder="1" applyAlignment="1">
      <alignment horizontal="center" wrapText="1"/>
    </xf>
    <xf numFmtId="0" fontId="23" fillId="22" borderId="81" xfId="0" applyFont="1" applyFill="1" applyBorder="1" applyAlignment="1">
      <alignment horizontal="center" wrapText="1"/>
    </xf>
    <xf numFmtId="0" fontId="23" fillId="22" borderId="32" xfId="0" applyFont="1" applyFill="1" applyBorder="1" applyAlignment="1">
      <alignment horizontal="center" wrapText="1"/>
    </xf>
    <xf numFmtId="0" fontId="42" fillId="48" borderId="48" xfId="0" applyFont="1" applyFill="1" applyBorder="1" applyAlignment="1">
      <alignment horizontal="center" vertical="center"/>
    </xf>
    <xf numFmtId="0" fontId="43" fillId="25" borderId="61" xfId="0" applyFont="1" applyFill="1" applyBorder="1" applyAlignment="1">
      <alignment horizontal="center" vertical="center"/>
    </xf>
    <xf numFmtId="0" fontId="43" fillId="25" borderId="46" xfId="0" applyFont="1" applyFill="1" applyBorder="1" applyAlignment="1">
      <alignment horizontal="center" vertical="center"/>
    </xf>
    <xf numFmtId="0" fontId="38" fillId="40" borderId="0" xfId="0" applyFont="1" applyFill="1" applyBorder="1" applyAlignment="1">
      <alignment horizontal="center" wrapText="1"/>
    </xf>
    <xf numFmtId="0" fontId="38" fillId="40" borderId="16" xfId="0" applyFont="1" applyFill="1" applyBorder="1" applyAlignment="1">
      <alignment horizontal="center" wrapText="1"/>
    </xf>
    <xf numFmtId="0" fontId="38" fillId="46" borderId="60" xfId="0" applyFont="1" applyFill="1" applyBorder="1" applyAlignment="1">
      <alignment horizontal="center" vertical="center" wrapText="1"/>
    </xf>
    <xf numFmtId="0" fontId="38" fillId="46" borderId="72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wrapText="1"/>
    </xf>
    <xf numFmtId="0" fontId="23" fillId="3" borderId="13" xfId="0" applyFont="1" applyFill="1" applyBorder="1" applyAlignment="1">
      <alignment horizontal="center" wrapText="1"/>
    </xf>
    <xf numFmtId="0" fontId="23" fillId="3" borderId="60" xfId="0" applyFont="1" applyFill="1" applyBorder="1" applyAlignment="1">
      <alignment horizontal="center" wrapText="1"/>
    </xf>
    <xf numFmtId="0" fontId="23" fillId="6" borderId="89" xfId="0" applyFont="1" applyFill="1" applyBorder="1" applyAlignment="1">
      <alignment horizontal="center" wrapText="1"/>
    </xf>
    <xf numFmtId="0" fontId="23" fillId="6" borderId="76" xfId="0" applyFont="1" applyFill="1" applyBorder="1" applyAlignment="1">
      <alignment horizontal="center" wrapText="1"/>
    </xf>
    <xf numFmtId="0" fontId="23" fillId="6" borderId="90" xfId="0" applyFont="1" applyFill="1" applyBorder="1" applyAlignment="1">
      <alignment horizontal="center" wrapText="1"/>
    </xf>
    <xf numFmtId="0" fontId="23" fillId="3" borderId="1" xfId="0" applyFont="1" applyFill="1" applyBorder="1" applyAlignment="1">
      <alignment horizontal="left" wrapText="1"/>
    </xf>
    <xf numFmtId="0" fontId="23" fillId="3" borderId="71" xfId="0" applyFont="1" applyFill="1" applyBorder="1" applyAlignment="1">
      <alignment horizontal="left" wrapText="1"/>
    </xf>
    <xf numFmtId="0" fontId="38" fillId="46" borderId="70" xfId="0" applyFont="1" applyFill="1" applyBorder="1" applyAlignment="1">
      <alignment horizontal="center" vertical="center" wrapText="1"/>
    </xf>
    <xf numFmtId="0" fontId="23" fillId="6" borderId="87" xfId="0" applyFont="1" applyFill="1" applyBorder="1" applyAlignment="1">
      <alignment horizontal="center" wrapText="1"/>
    </xf>
    <xf numFmtId="0" fontId="23" fillId="6" borderId="6" xfId="0" applyFont="1" applyFill="1" applyBorder="1" applyAlignment="1">
      <alignment horizontal="center" wrapText="1"/>
    </xf>
    <xf numFmtId="0" fontId="23" fillId="6" borderId="88" xfId="0" applyFont="1" applyFill="1" applyBorder="1" applyAlignment="1">
      <alignment horizontal="center" wrapText="1"/>
    </xf>
    <xf numFmtId="0" fontId="23" fillId="7" borderId="7" xfId="0" applyFont="1" applyFill="1" applyBorder="1" applyAlignment="1">
      <alignment horizontal="center" wrapText="1"/>
    </xf>
    <xf numFmtId="0" fontId="23" fillId="7" borderId="72" xfId="0" applyFont="1" applyFill="1" applyBorder="1" applyAlignment="1">
      <alignment horizontal="center" wrapText="1"/>
    </xf>
    <xf numFmtId="0" fontId="23" fillId="8" borderId="2" xfId="0" applyFont="1" applyFill="1" applyBorder="1" applyAlignment="1">
      <alignment horizontal="center" wrapText="1"/>
    </xf>
    <xf numFmtId="0" fontId="23" fillId="8" borderId="72" xfId="0" applyFont="1" applyFill="1" applyBorder="1" applyAlignment="1">
      <alignment horizontal="center" wrapText="1"/>
    </xf>
    <xf numFmtId="0" fontId="23" fillId="8" borderId="59" xfId="0" applyFont="1" applyFill="1" applyBorder="1" applyAlignment="1">
      <alignment horizontal="center" wrapText="1"/>
    </xf>
    <xf numFmtId="0" fontId="23" fillId="8" borderId="49" xfId="0" applyFont="1" applyFill="1" applyBorder="1" applyAlignment="1">
      <alignment horizontal="center" wrapText="1"/>
    </xf>
    <xf numFmtId="0" fontId="23" fillId="7" borderId="68" xfId="0" applyFont="1" applyFill="1" applyBorder="1" applyAlignment="1">
      <alignment horizontal="center" wrapText="1"/>
    </xf>
    <xf numFmtId="0" fontId="23" fillId="7" borderId="49" xfId="0" applyFont="1" applyFill="1" applyBorder="1" applyAlignment="1">
      <alignment horizontal="center" wrapText="1"/>
    </xf>
    <xf numFmtId="0" fontId="0" fillId="24" borderId="0" xfId="0" applyFill="1" applyProtection="1"/>
    <xf numFmtId="0" fontId="33" fillId="24" borderId="0" xfId="0" applyFont="1" applyFill="1" applyBorder="1" applyAlignment="1" applyProtection="1">
      <alignment horizontal="left"/>
    </xf>
    <xf numFmtId="0" fontId="0" fillId="0" borderId="0" xfId="0" applyBorder="1" applyAlignment="1" applyProtection="1">
      <alignment horizontal="center" vertical="center" wrapText="1"/>
    </xf>
    <xf numFmtId="0" fontId="0" fillId="0" borderId="0" xfId="0" applyFill="1" applyProtection="1"/>
    <xf numFmtId="0" fontId="34" fillId="25" borderId="0" xfId="0" applyFont="1" applyFill="1" applyBorder="1" applyAlignment="1" applyProtection="1">
      <alignment horizontal="left" vertical="center" indent="1"/>
    </xf>
    <xf numFmtId="0" fontId="34" fillId="25" borderId="0" xfId="0" applyFont="1" applyFill="1" applyBorder="1" applyAlignment="1" applyProtection="1">
      <alignment horizontal="left" vertical="center" indent="1"/>
    </xf>
    <xf numFmtId="0" fontId="38" fillId="25" borderId="0" xfId="0" applyFont="1" applyFill="1" applyBorder="1" applyAlignment="1" applyProtection="1">
      <alignment horizontal="left" vertical="center" indent="1"/>
    </xf>
    <xf numFmtId="0" fontId="0" fillId="0" borderId="0" xfId="0" applyFill="1" applyBorder="1" applyProtection="1"/>
    <xf numFmtId="0" fontId="35" fillId="24" borderId="0" xfId="0" applyFont="1" applyFill="1" applyBorder="1" applyAlignment="1" applyProtection="1">
      <alignment horizontal="left" vertical="center" indent="2"/>
      <protection locked="0"/>
    </xf>
    <xf numFmtId="0" fontId="36" fillId="24" borderId="0" xfId="0" applyFont="1" applyFill="1" applyBorder="1" applyAlignment="1" applyProtection="1">
      <alignment horizontal="left" vertical="center" indent="2"/>
      <protection locked="0"/>
    </xf>
    <xf numFmtId="0" fontId="34" fillId="25" borderId="0" xfId="1" applyFont="1" applyFill="1" applyBorder="1" applyAlignment="1" applyProtection="1">
      <alignment horizontal="center" vertical="center"/>
      <protection locked="0"/>
    </xf>
    <xf numFmtId="0" fontId="38" fillId="25" borderId="0" xfId="0" applyFont="1" applyFill="1" applyBorder="1" applyAlignment="1" applyProtection="1">
      <alignment horizontal="left" vertical="center" indent="1"/>
    </xf>
    <xf numFmtId="0" fontId="38" fillId="0" borderId="0" xfId="0" applyFont="1" applyFill="1" applyBorder="1" applyAlignment="1" applyProtection="1">
      <alignment vertical="center"/>
    </xf>
    <xf numFmtId="0" fontId="34" fillId="0" borderId="0" xfId="0" applyFont="1" applyFill="1" applyBorder="1" applyAlignment="1" applyProtection="1">
      <alignment vertical="center"/>
    </xf>
    <xf numFmtId="0" fontId="34" fillId="27" borderId="18" xfId="0" applyFont="1" applyFill="1" applyBorder="1" applyAlignment="1" applyProtection="1">
      <alignment horizontal="center" vertical="center"/>
    </xf>
    <xf numFmtId="0" fontId="34" fillId="27" borderId="19" xfId="0" applyFont="1" applyFill="1" applyBorder="1" applyAlignment="1" applyProtection="1">
      <alignment horizontal="center" vertical="center"/>
    </xf>
    <xf numFmtId="0" fontId="34" fillId="0" borderId="21" xfId="0" applyFont="1" applyBorder="1" applyAlignment="1" applyProtection="1">
      <alignment horizontal="center" vertical="center"/>
    </xf>
    <xf numFmtId="1" fontId="38" fillId="10" borderId="20" xfId="0" applyNumberFormat="1" applyFont="1" applyFill="1" applyBorder="1" applyAlignment="1" applyProtection="1">
      <alignment horizontal="center" vertical="center" wrapText="1"/>
    </xf>
    <xf numFmtId="0" fontId="34" fillId="0" borderId="21" xfId="0" applyFont="1" applyBorder="1" applyAlignment="1" applyProtection="1">
      <alignment horizontal="center" vertical="center" wrapText="1"/>
    </xf>
    <xf numFmtId="1" fontId="38" fillId="25" borderId="21" xfId="0" applyNumberFormat="1" applyFont="1" applyFill="1" applyBorder="1" applyAlignment="1" applyProtection="1">
      <alignment horizontal="center" vertical="center" wrapText="1"/>
    </xf>
    <xf numFmtId="1" fontId="34" fillId="25" borderId="21" xfId="0" applyNumberFormat="1" applyFont="1" applyFill="1" applyBorder="1" applyAlignment="1" applyProtection="1">
      <alignment horizontal="center" vertical="center" wrapText="1"/>
    </xf>
    <xf numFmtId="1" fontId="34" fillId="25" borderId="22" xfId="0" applyNumberFormat="1" applyFont="1" applyFill="1" applyBorder="1" applyAlignment="1" applyProtection="1">
      <alignment horizontal="center" vertical="center" wrapText="1"/>
    </xf>
    <xf numFmtId="0" fontId="38" fillId="11" borderId="20" xfId="0" applyFont="1" applyFill="1" applyBorder="1" applyAlignment="1" applyProtection="1">
      <alignment horizontal="center" vertical="center"/>
    </xf>
    <xf numFmtId="0" fontId="38" fillId="12" borderId="20" xfId="0" applyFont="1" applyFill="1" applyBorder="1" applyAlignment="1" applyProtection="1">
      <alignment horizontal="center" vertical="center"/>
    </xf>
    <xf numFmtId="0" fontId="38" fillId="13" borderId="20" xfId="0" applyFont="1" applyFill="1" applyBorder="1" applyAlignment="1" applyProtection="1">
      <alignment horizontal="center" vertical="center"/>
    </xf>
    <xf numFmtId="0" fontId="16" fillId="14" borderId="23" xfId="0" applyFont="1" applyFill="1" applyBorder="1" applyAlignment="1" applyProtection="1">
      <alignment horizontal="center" vertical="center"/>
    </xf>
    <xf numFmtId="0" fontId="0" fillId="0" borderId="24" xfId="0" applyBorder="1" applyAlignment="1" applyProtection="1">
      <alignment horizontal="center" vertical="center"/>
    </xf>
    <xf numFmtId="0" fontId="39" fillId="25" borderId="24" xfId="0" applyFont="1" applyFill="1" applyBorder="1" applyAlignment="1" applyProtection="1">
      <alignment horizontal="center" vertical="center"/>
    </xf>
    <xf numFmtId="0" fontId="40" fillId="25" borderId="24" xfId="0" applyFont="1" applyFill="1" applyBorder="1" applyAlignment="1" applyProtection="1">
      <alignment horizontal="center" vertical="center"/>
    </xf>
    <xf numFmtId="0" fontId="40" fillId="25" borderId="25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1" fontId="0" fillId="0" borderId="0" xfId="0" applyNumberFormat="1" applyProtection="1"/>
    <xf numFmtId="0" fontId="46" fillId="27" borderId="17" xfId="0" applyFont="1" applyFill="1" applyBorder="1" applyAlignment="1" applyProtection="1">
      <alignment horizontal="center" vertical="center" wrapText="1"/>
    </xf>
    <xf numFmtId="0" fontId="18" fillId="32" borderId="18" xfId="0" applyFont="1" applyFill="1" applyBorder="1" applyAlignment="1" applyProtection="1">
      <alignment horizontal="center" vertical="center" wrapText="1"/>
    </xf>
    <xf numFmtId="45" fontId="18" fillId="25" borderId="18" xfId="0" applyNumberFormat="1" applyFont="1" applyFill="1" applyBorder="1" applyAlignment="1" applyProtection="1">
      <alignment horizontal="center" vertical="center" wrapText="1"/>
    </xf>
    <xf numFmtId="1" fontId="18" fillId="25" borderId="40" xfId="0" applyNumberFormat="1" applyFont="1" applyFill="1" applyBorder="1" applyAlignment="1" applyProtection="1">
      <alignment horizontal="center" vertical="center" wrapText="1"/>
    </xf>
    <xf numFmtId="1" fontId="18" fillId="25" borderId="19" xfId="0" applyNumberFormat="1" applyFont="1" applyFill="1" applyBorder="1" applyAlignment="1" applyProtection="1">
      <alignment horizontal="center" vertical="center" wrapText="1"/>
    </xf>
    <xf numFmtId="0" fontId="46" fillId="27" borderId="20" xfId="0" applyFont="1" applyFill="1" applyBorder="1" applyAlignment="1" applyProtection="1">
      <alignment horizontal="center" vertical="center" wrapText="1"/>
    </xf>
    <xf numFmtId="0" fontId="18" fillId="17" borderId="21" xfId="0" applyFont="1" applyFill="1" applyBorder="1" applyAlignment="1" applyProtection="1">
      <alignment horizontal="center" vertical="center" wrapText="1"/>
    </xf>
    <xf numFmtId="20" fontId="18" fillId="25" borderId="21" xfId="0" applyNumberFormat="1" applyFont="1" applyFill="1" applyBorder="1" applyAlignment="1" applyProtection="1">
      <alignment horizontal="center" vertical="center" wrapText="1"/>
    </xf>
    <xf numFmtId="1" fontId="18" fillId="25" borderId="41" xfId="0" applyNumberFormat="1" applyFont="1" applyFill="1" applyBorder="1" applyAlignment="1" applyProtection="1">
      <alignment horizontal="center" vertical="center" wrapText="1"/>
    </xf>
    <xf numFmtId="1" fontId="18" fillId="25" borderId="22" xfId="0" applyNumberFormat="1" applyFont="1" applyFill="1" applyBorder="1" applyAlignment="1" applyProtection="1">
      <alignment horizontal="center" vertical="center" wrapText="1"/>
    </xf>
    <xf numFmtId="0" fontId="18" fillId="10" borderId="21" xfId="0" applyFont="1" applyFill="1" applyBorder="1" applyAlignment="1" applyProtection="1">
      <alignment horizontal="center" vertical="center" wrapText="1"/>
    </xf>
    <xf numFmtId="0" fontId="18" fillId="5" borderId="21" xfId="0" applyFont="1" applyFill="1" applyBorder="1" applyAlignment="1" applyProtection="1">
      <alignment horizontal="center" vertical="center" wrapText="1"/>
    </xf>
    <xf numFmtId="1" fontId="18" fillId="25" borderId="21" xfId="0" applyNumberFormat="1" applyFont="1" applyFill="1" applyBorder="1" applyAlignment="1" applyProtection="1">
      <alignment horizontal="center" vertical="center" wrapText="1"/>
    </xf>
    <xf numFmtId="0" fontId="18" fillId="18" borderId="21" xfId="0" applyFont="1" applyFill="1" applyBorder="1" applyAlignment="1" applyProtection="1">
      <alignment horizontal="center" vertical="center" wrapText="1"/>
    </xf>
    <xf numFmtId="0" fontId="32" fillId="0" borderId="0" xfId="0" applyFont="1" applyProtection="1"/>
    <xf numFmtId="0" fontId="18" fillId="32" borderId="21" xfId="0" applyFont="1" applyFill="1" applyBorder="1" applyAlignment="1" applyProtection="1">
      <alignment horizontal="center" vertical="center" wrapText="1"/>
    </xf>
    <xf numFmtId="45" fontId="18" fillId="25" borderId="21" xfId="0" applyNumberFormat="1" applyFont="1" applyFill="1" applyBorder="1" applyAlignment="1" applyProtection="1">
      <alignment horizontal="center" vertical="center" wrapText="1"/>
    </xf>
    <xf numFmtId="0" fontId="25" fillId="19" borderId="21" xfId="0" applyFont="1" applyFill="1" applyBorder="1" applyAlignment="1" applyProtection="1">
      <alignment horizontal="center" vertical="center" wrapText="1"/>
    </xf>
    <xf numFmtId="0" fontId="46" fillId="27" borderId="23" xfId="0" applyFont="1" applyFill="1" applyBorder="1" applyAlignment="1" applyProtection="1">
      <alignment horizontal="center" vertical="center" wrapText="1"/>
    </xf>
    <xf numFmtId="0" fontId="18" fillId="20" borderId="24" xfId="0" applyFont="1" applyFill="1" applyBorder="1" applyAlignment="1" applyProtection="1">
      <alignment horizontal="center" vertical="center" wrapText="1"/>
    </xf>
    <xf numFmtId="20" fontId="18" fillId="25" borderId="24" xfId="0" applyNumberFormat="1" applyFont="1" applyFill="1" applyBorder="1" applyAlignment="1" applyProtection="1">
      <alignment horizontal="center" vertical="center" wrapText="1"/>
    </xf>
    <xf numFmtId="1" fontId="18" fillId="25" borderId="42" xfId="0" applyNumberFormat="1" applyFont="1" applyFill="1" applyBorder="1" applyAlignment="1" applyProtection="1">
      <alignment horizontal="center" vertical="center" wrapText="1"/>
    </xf>
    <xf numFmtId="1" fontId="18" fillId="25" borderId="25" xfId="0" applyNumberFormat="1" applyFont="1" applyFill="1" applyBorder="1" applyAlignment="1" applyProtection="1">
      <alignment horizontal="center" vertical="center" wrapText="1"/>
    </xf>
    <xf numFmtId="0" fontId="18" fillId="20" borderId="21" xfId="0" applyFont="1" applyFill="1" applyBorder="1" applyAlignment="1" applyProtection="1">
      <alignment horizontal="center" vertical="center" wrapText="1"/>
    </xf>
    <xf numFmtId="0" fontId="18" fillId="21" borderId="21" xfId="0" applyFont="1" applyFill="1" applyBorder="1" applyAlignment="1" applyProtection="1">
      <alignment horizontal="center" vertical="center" wrapText="1"/>
    </xf>
    <xf numFmtId="0" fontId="18" fillId="15" borderId="24" xfId="0" applyFont="1" applyFill="1" applyBorder="1" applyAlignment="1" applyProtection="1">
      <alignment horizontal="center" vertical="center" wrapText="1"/>
    </xf>
    <xf numFmtId="169" fontId="18" fillId="9" borderId="24" xfId="0" applyNumberFormat="1" applyFont="1" applyFill="1" applyBorder="1" applyAlignment="1" applyProtection="1">
      <alignment horizontal="center" vertical="center" wrapText="1"/>
    </xf>
    <xf numFmtId="0" fontId="18" fillId="9" borderId="42" xfId="0" applyNumberFormat="1" applyFont="1" applyFill="1" applyBorder="1" applyAlignment="1" applyProtection="1">
      <alignment horizontal="center" vertical="center" wrapText="1"/>
    </xf>
    <xf numFmtId="0" fontId="26" fillId="15" borderId="24" xfId="0" applyFont="1" applyFill="1" applyBorder="1" applyAlignment="1" applyProtection="1">
      <alignment horizontal="center" vertical="center" wrapText="1"/>
    </xf>
    <xf numFmtId="0" fontId="18" fillId="9" borderId="25" xfId="0" applyNumberFormat="1" applyFont="1" applyFill="1" applyBorder="1" applyAlignment="1" applyProtection="1">
      <alignment horizontal="center" vertical="center" wrapText="1"/>
    </xf>
    <xf numFmtId="0" fontId="46" fillId="27" borderId="49" xfId="0" applyFont="1" applyFill="1" applyBorder="1" applyAlignment="1" applyProtection="1">
      <alignment horizontal="center" vertical="center" wrapText="1"/>
    </xf>
    <xf numFmtId="0" fontId="18" fillId="32" borderId="50" xfId="0" applyFont="1" applyFill="1" applyBorder="1" applyAlignment="1" applyProtection="1">
      <alignment horizontal="center" vertical="center" wrapText="1"/>
    </xf>
    <xf numFmtId="45" fontId="18" fillId="25" borderId="50" xfId="0" applyNumberFormat="1" applyFont="1" applyFill="1" applyBorder="1" applyAlignment="1" applyProtection="1">
      <alignment horizontal="center" vertical="center" wrapText="1"/>
    </xf>
    <xf numFmtId="1" fontId="18" fillId="25" borderId="56" xfId="0" applyNumberFormat="1" applyFont="1" applyFill="1" applyBorder="1" applyAlignment="1" applyProtection="1">
      <alignment horizontal="center" vertical="center" wrapText="1"/>
    </xf>
    <xf numFmtId="1" fontId="18" fillId="25" borderId="51" xfId="0" applyNumberFormat="1" applyFont="1" applyFill="1" applyBorder="1" applyAlignment="1" applyProtection="1">
      <alignment horizontal="center" vertical="center" wrapText="1"/>
    </xf>
    <xf numFmtId="0" fontId="46" fillId="27" borderId="46" xfId="0" applyFont="1" applyFill="1" applyBorder="1" applyAlignment="1" applyProtection="1">
      <alignment horizontal="center" vertical="center" wrapText="1"/>
    </xf>
    <xf numFmtId="0" fontId="18" fillId="17" borderId="43" xfId="0" applyFont="1" applyFill="1" applyBorder="1" applyAlignment="1" applyProtection="1">
      <alignment horizontal="center" vertical="center" wrapText="1"/>
    </xf>
    <xf numFmtId="20" fontId="18" fillId="25" borderId="43" xfId="0" applyNumberFormat="1" applyFont="1" applyFill="1" applyBorder="1" applyAlignment="1" applyProtection="1">
      <alignment horizontal="center" vertical="center" wrapText="1"/>
    </xf>
    <xf numFmtId="1" fontId="18" fillId="25" borderId="57" xfId="0" applyNumberFormat="1" applyFont="1" applyFill="1" applyBorder="1" applyAlignment="1" applyProtection="1">
      <alignment horizontal="center" vertical="center" wrapText="1"/>
    </xf>
    <xf numFmtId="0" fontId="18" fillId="5" borderId="43" xfId="0" applyFont="1" applyFill="1" applyBorder="1" applyAlignment="1" applyProtection="1">
      <alignment horizontal="center" vertical="center" wrapText="1"/>
    </xf>
    <xf numFmtId="1" fontId="18" fillId="25" borderId="43" xfId="0" applyNumberFormat="1" applyFont="1" applyFill="1" applyBorder="1" applyAlignment="1" applyProtection="1">
      <alignment horizontal="center" vertical="center" wrapText="1"/>
    </xf>
    <xf numFmtId="0" fontId="18" fillId="18" borderId="43" xfId="0" applyFont="1" applyFill="1" applyBorder="1" applyAlignment="1" applyProtection="1">
      <alignment horizontal="center" vertical="center" wrapText="1"/>
    </xf>
    <xf numFmtId="1" fontId="18" fillId="25" borderId="48" xfId="0" applyNumberFormat="1" applyFont="1" applyFill="1" applyBorder="1" applyAlignment="1" applyProtection="1">
      <alignment horizontal="center" vertical="center" wrapText="1"/>
    </xf>
    <xf numFmtId="0" fontId="18" fillId="32" borderId="43" xfId="0" applyFont="1" applyFill="1" applyBorder="1" applyAlignment="1" applyProtection="1">
      <alignment horizontal="center" vertical="center" wrapText="1"/>
    </xf>
    <xf numFmtId="45" fontId="18" fillId="25" borderId="43" xfId="0" applyNumberFormat="1" applyFont="1" applyFill="1" applyBorder="1" applyAlignment="1" applyProtection="1">
      <alignment horizontal="center" vertical="center" wrapText="1"/>
    </xf>
    <xf numFmtId="0" fontId="25" fillId="19" borderId="43" xfId="0" applyFont="1" applyFill="1" applyBorder="1" applyAlignment="1" applyProtection="1">
      <alignment horizontal="center" vertical="center" wrapText="1"/>
    </xf>
    <xf numFmtId="0" fontId="46" fillId="27" borderId="47" xfId="0" applyFont="1" applyFill="1" applyBorder="1" applyAlignment="1" applyProtection="1">
      <alignment horizontal="center" vertical="center" wrapText="1"/>
    </xf>
    <xf numFmtId="0" fontId="18" fillId="20" borderId="44" xfId="0" applyFont="1" applyFill="1" applyBorder="1" applyAlignment="1" applyProtection="1">
      <alignment horizontal="center" vertical="center" wrapText="1"/>
    </xf>
    <xf numFmtId="20" fontId="18" fillId="25" borderId="44" xfId="0" applyNumberFormat="1" applyFont="1" applyFill="1" applyBorder="1" applyAlignment="1" applyProtection="1">
      <alignment horizontal="center" vertical="center" wrapText="1"/>
    </xf>
    <xf numFmtId="1" fontId="18" fillId="25" borderId="58" xfId="0" applyNumberFormat="1" applyFont="1" applyFill="1" applyBorder="1" applyAlignment="1" applyProtection="1">
      <alignment horizontal="center" vertical="center" wrapText="1"/>
    </xf>
    <xf numFmtId="1" fontId="18" fillId="25" borderId="45" xfId="0" applyNumberFormat="1" applyFont="1" applyFill="1" applyBorder="1" applyAlignment="1" applyProtection="1">
      <alignment horizontal="center" vertical="center" wrapText="1"/>
    </xf>
    <xf numFmtId="0" fontId="18" fillId="21" borderId="43" xfId="0" applyFont="1" applyFill="1" applyBorder="1" applyAlignment="1" applyProtection="1">
      <alignment horizontal="center" vertical="center" wrapText="1"/>
    </xf>
    <xf numFmtId="0" fontId="18" fillId="15" borderId="44" xfId="0" applyFont="1" applyFill="1" applyBorder="1" applyAlignment="1" applyProtection="1">
      <alignment horizontal="center" vertical="center" wrapText="1"/>
    </xf>
    <xf numFmtId="45" fontId="18" fillId="9" borderId="44" xfId="0" applyNumberFormat="1" applyFont="1" applyFill="1" applyBorder="1" applyAlignment="1" applyProtection="1">
      <alignment horizontal="center" vertical="center" wrapText="1"/>
    </xf>
    <xf numFmtId="0" fontId="18" fillId="9" borderId="58" xfId="0" applyNumberFormat="1" applyFont="1" applyFill="1" applyBorder="1" applyAlignment="1" applyProtection="1">
      <alignment horizontal="center" vertical="center" wrapText="1"/>
    </xf>
    <xf numFmtId="0" fontId="26" fillId="15" borderId="44" xfId="0" applyFont="1" applyFill="1" applyBorder="1" applyAlignment="1" applyProtection="1">
      <alignment horizontal="center" vertical="center" wrapText="1"/>
    </xf>
    <xf numFmtId="169" fontId="18" fillId="9" borderId="44" xfId="0" applyNumberFormat="1" applyFont="1" applyFill="1" applyBorder="1" applyAlignment="1" applyProtection="1">
      <alignment horizontal="center" vertical="center" wrapText="1"/>
    </xf>
    <xf numFmtId="0" fontId="18" fillId="9" borderId="45" xfId="0" applyNumberFormat="1" applyFont="1" applyFill="1" applyBorder="1" applyAlignment="1" applyProtection="1">
      <alignment horizontal="center" vertical="center" wrapText="1"/>
    </xf>
    <xf numFmtId="0" fontId="25" fillId="19" borderId="44" xfId="0" applyFont="1" applyFill="1" applyBorder="1" applyAlignment="1" applyProtection="1">
      <alignment horizontal="center" vertical="center" wrapText="1"/>
    </xf>
    <xf numFmtId="45" fontId="18" fillId="25" borderId="44" xfId="0" applyNumberFormat="1" applyFont="1" applyFill="1" applyBorder="1" applyAlignment="1" applyProtection="1">
      <alignment horizontal="center" vertical="center" wrapText="1"/>
    </xf>
    <xf numFmtId="0" fontId="22" fillId="25" borderId="50" xfId="0" applyFont="1" applyFill="1" applyBorder="1" applyProtection="1"/>
    <xf numFmtId="1" fontId="22" fillId="25" borderId="56" xfId="0" applyNumberFormat="1" applyFont="1" applyFill="1" applyBorder="1" applyProtection="1"/>
    <xf numFmtId="0" fontId="18" fillId="19" borderId="43" xfId="0" applyFont="1" applyFill="1" applyBorder="1" applyAlignment="1" applyProtection="1">
      <alignment horizontal="center" vertical="center" wrapText="1"/>
    </xf>
    <xf numFmtId="0" fontId="18" fillId="20" borderId="43" xfId="0" applyFont="1" applyFill="1" applyBorder="1" applyAlignment="1" applyProtection="1">
      <alignment horizontal="center" vertical="center" wrapText="1"/>
    </xf>
    <xf numFmtId="0" fontId="18" fillId="37" borderId="43" xfId="0" applyFont="1" applyFill="1" applyBorder="1" applyAlignment="1" applyProtection="1">
      <alignment horizontal="center" vertical="center" wrapText="1"/>
    </xf>
    <xf numFmtId="1" fontId="18" fillId="9" borderId="58" xfId="0" applyNumberFormat="1" applyFont="1" applyFill="1" applyBorder="1" applyAlignment="1" applyProtection="1">
      <alignment horizontal="center" vertical="center" wrapText="1"/>
    </xf>
    <xf numFmtId="1" fontId="18" fillId="9" borderId="45" xfId="0" applyNumberFormat="1" applyFont="1" applyFill="1" applyBorder="1" applyAlignment="1" applyProtection="1">
      <alignment horizontal="center" vertic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1D2FBE"/>
      <rgbColor rgb="003DEB3D"/>
      <rgbColor rgb="0069FFFF"/>
      <rgbColor rgb="006A2813"/>
      <rgbColor rgb="00C0C0C0"/>
      <rgbColor rgb="00C0C0FF"/>
      <rgbColor rgb="00C6C6C6"/>
      <rgbColor rgb="00CC9CCC"/>
      <rgbColor rgb="00CCFFCC"/>
      <rgbColor rgb="00DFDFDF"/>
      <rgbColor rgb="00E3E3E3"/>
      <rgbColor rgb="00FF0000"/>
      <rgbColor rgb="00FFCC99"/>
      <rgbColor rgb="00FFFF00"/>
      <rgbColor rgb="00FFFF80"/>
      <rgbColor rgb="00FFFF99"/>
      <rgbColor rgb="00FFFFFF"/>
      <rgbColor rgb="00FFFFFF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400050</xdr:colOff>
      <xdr:row>1</xdr:row>
      <xdr:rowOff>85725</xdr:rowOff>
    </xdr:from>
    <xdr:to>
      <xdr:col>16</xdr:col>
      <xdr:colOff>752475</xdr:colOff>
      <xdr:row>1</xdr:row>
      <xdr:rowOff>419100</xdr:rowOff>
    </xdr:to>
    <xdr:pic>
      <xdr:nvPicPr>
        <xdr:cNvPr id="8391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0" y="247650"/>
          <a:ext cx="1876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333375</xdr:colOff>
      <xdr:row>2</xdr:row>
      <xdr:rowOff>0</xdr:rowOff>
    </xdr:from>
    <xdr:to>
      <xdr:col>10</xdr:col>
      <xdr:colOff>760795</xdr:colOff>
      <xdr:row>3</xdr:row>
      <xdr:rowOff>156883</xdr:rowOff>
    </xdr:to>
    <xdr:sp macro="" textlink="">
      <xdr:nvSpPr>
        <xdr:cNvPr id="4" name="Rectangle 3"/>
        <xdr:cNvSpPr/>
      </xdr:nvSpPr>
      <xdr:spPr bwMode="auto">
        <a:xfrm>
          <a:off x="7048500" y="619125"/>
          <a:ext cx="1189420" cy="31880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Accueil</a:t>
          </a:r>
        </a:p>
      </xdr:txBody>
    </xdr:sp>
    <xdr:clientData/>
  </xdr:twoCellAnchor>
  <xdr:twoCellAnchor>
    <xdr:from>
      <xdr:col>10</xdr:col>
      <xdr:colOff>457200</xdr:colOff>
      <xdr:row>34</xdr:row>
      <xdr:rowOff>28575</xdr:rowOff>
    </xdr:from>
    <xdr:to>
      <xdr:col>10</xdr:col>
      <xdr:colOff>647700</xdr:colOff>
      <xdr:row>34</xdr:row>
      <xdr:rowOff>228600</xdr:rowOff>
    </xdr:to>
    <xdr:grpSp>
      <xdr:nvGrpSpPr>
        <xdr:cNvPr id="8393" name="Groupe 4"/>
        <xdr:cNvGrpSpPr>
          <a:grpSpLocks/>
        </xdr:cNvGrpSpPr>
      </xdr:nvGrpSpPr>
      <xdr:grpSpPr bwMode="auto">
        <a:xfrm>
          <a:off x="7867650" y="6238875"/>
          <a:ext cx="190500" cy="200025"/>
          <a:chOff x="9061739" y="6191250"/>
          <a:chExt cx="197922" cy="197922"/>
        </a:xfrm>
      </xdr:grpSpPr>
      <xdr:sp macro="" textlink="">
        <xdr:nvSpPr>
          <xdr:cNvPr id="8400" name="Flèche droite 5"/>
          <xdr:cNvSpPr>
            <a:spLocks noChangeArrowheads="1"/>
          </xdr:cNvSpPr>
        </xdr:nvSpPr>
        <xdr:spPr bwMode="auto">
          <a:xfrm>
            <a:off x="9109301" y="6238271"/>
            <a:ext cx="116032" cy="111928"/>
          </a:xfrm>
          <a:prstGeom prst="rightArrow">
            <a:avLst>
              <a:gd name="adj1" fmla="val 50000"/>
              <a:gd name="adj2" fmla="val 50000"/>
            </a:avLst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01" name="Ellipse 6"/>
          <xdr:cNvSpPr>
            <a:spLocks noChangeArrowheads="1"/>
          </xdr:cNvSpPr>
        </xdr:nvSpPr>
        <xdr:spPr bwMode="auto">
          <a:xfrm>
            <a:off x="9061739" y="6191250"/>
            <a:ext cx="197922" cy="197922"/>
          </a:xfrm>
          <a:prstGeom prst="ellipse">
            <a:avLst/>
          </a:prstGeom>
          <a:noFill/>
          <a:ln w="19050" algn="ctr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457200</xdr:colOff>
      <xdr:row>32</xdr:row>
      <xdr:rowOff>38100</xdr:rowOff>
    </xdr:from>
    <xdr:to>
      <xdr:col>10</xdr:col>
      <xdr:colOff>657225</xdr:colOff>
      <xdr:row>32</xdr:row>
      <xdr:rowOff>228600</xdr:rowOff>
    </xdr:to>
    <xdr:grpSp>
      <xdr:nvGrpSpPr>
        <xdr:cNvPr id="8394" name="Groupe 7"/>
        <xdr:cNvGrpSpPr>
          <a:grpSpLocks/>
        </xdr:cNvGrpSpPr>
      </xdr:nvGrpSpPr>
      <xdr:grpSpPr bwMode="auto">
        <a:xfrm>
          <a:off x="7867650" y="5895975"/>
          <a:ext cx="200025" cy="190500"/>
          <a:chOff x="9066068" y="5857876"/>
          <a:chExt cx="197922" cy="197922"/>
        </a:xfrm>
      </xdr:grpSpPr>
      <xdr:sp macro="" textlink="">
        <xdr:nvSpPr>
          <xdr:cNvPr id="8398" name="Flèche droite 8"/>
          <xdr:cNvSpPr>
            <a:spLocks noChangeArrowheads="1"/>
          </xdr:cNvSpPr>
        </xdr:nvSpPr>
        <xdr:spPr bwMode="auto">
          <a:xfrm>
            <a:off x="9113630" y="5904897"/>
            <a:ext cx="116032" cy="111928"/>
          </a:xfrm>
          <a:prstGeom prst="rightArrow">
            <a:avLst>
              <a:gd name="adj1" fmla="val 50000"/>
              <a:gd name="adj2" fmla="val 50000"/>
            </a:avLst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99" name="Ellipse 9"/>
          <xdr:cNvSpPr>
            <a:spLocks noChangeArrowheads="1"/>
          </xdr:cNvSpPr>
        </xdr:nvSpPr>
        <xdr:spPr bwMode="auto">
          <a:xfrm>
            <a:off x="9066068" y="5857876"/>
            <a:ext cx="197922" cy="197922"/>
          </a:xfrm>
          <a:prstGeom prst="ellipse">
            <a:avLst/>
          </a:prstGeom>
          <a:noFill/>
          <a:ln w="19050" algn="ctr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447675</xdr:colOff>
      <xdr:row>36</xdr:row>
      <xdr:rowOff>19050</xdr:rowOff>
    </xdr:from>
    <xdr:to>
      <xdr:col>10</xdr:col>
      <xdr:colOff>647700</xdr:colOff>
      <xdr:row>36</xdr:row>
      <xdr:rowOff>228600</xdr:rowOff>
    </xdr:to>
    <xdr:grpSp>
      <xdr:nvGrpSpPr>
        <xdr:cNvPr id="8395" name="Groupe 10"/>
        <xdr:cNvGrpSpPr>
          <a:grpSpLocks/>
        </xdr:cNvGrpSpPr>
      </xdr:nvGrpSpPr>
      <xdr:grpSpPr bwMode="auto">
        <a:xfrm>
          <a:off x="7858125" y="6581775"/>
          <a:ext cx="200025" cy="209550"/>
          <a:chOff x="9061739" y="6191250"/>
          <a:chExt cx="197922" cy="197922"/>
        </a:xfrm>
      </xdr:grpSpPr>
      <xdr:sp macro="" textlink="">
        <xdr:nvSpPr>
          <xdr:cNvPr id="8396" name="Flèche droite 11"/>
          <xdr:cNvSpPr>
            <a:spLocks noChangeArrowheads="1"/>
          </xdr:cNvSpPr>
        </xdr:nvSpPr>
        <xdr:spPr bwMode="auto">
          <a:xfrm>
            <a:off x="9109301" y="6238271"/>
            <a:ext cx="116032" cy="111928"/>
          </a:xfrm>
          <a:prstGeom prst="rightArrow">
            <a:avLst>
              <a:gd name="adj1" fmla="val 50000"/>
              <a:gd name="adj2" fmla="val 50000"/>
            </a:avLst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97" name="Ellipse 12"/>
          <xdr:cNvSpPr>
            <a:spLocks noChangeArrowheads="1"/>
          </xdr:cNvSpPr>
        </xdr:nvSpPr>
        <xdr:spPr bwMode="auto">
          <a:xfrm>
            <a:off x="9061739" y="6191250"/>
            <a:ext cx="197922" cy="197922"/>
          </a:xfrm>
          <a:prstGeom prst="ellipse">
            <a:avLst/>
          </a:prstGeom>
          <a:noFill/>
          <a:ln w="19050" algn="ctr">
            <a:solidFill>
              <a:srgbClr val="FFFF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400050</xdr:colOff>
      <xdr:row>1</xdr:row>
      <xdr:rowOff>85725</xdr:rowOff>
    </xdr:from>
    <xdr:to>
      <xdr:col>16</xdr:col>
      <xdr:colOff>752475</xdr:colOff>
      <xdr:row>2</xdr:row>
      <xdr:rowOff>0</xdr:rowOff>
    </xdr:to>
    <xdr:pic>
      <xdr:nvPicPr>
        <xdr:cNvPr id="1119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3400" y="247650"/>
          <a:ext cx="1876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695325</xdr:colOff>
      <xdr:row>1</xdr:row>
      <xdr:rowOff>76200</xdr:rowOff>
    </xdr:from>
    <xdr:to>
      <xdr:col>10</xdr:col>
      <xdr:colOff>685800</xdr:colOff>
      <xdr:row>1</xdr:row>
      <xdr:rowOff>409575</xdr:rowOff>
    </xdr:to>
    <xdr:pic>
      <xdr:nvPicPr>
        <xdr:cNvPr id="1120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38125"/>
          <a:ext cx="1876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1914525</xdr:colOff>
      <xdr:row>2</xdr:row>
      <xdr:rowOff>9525</xdr:rowOff>
    </xdr:from>
    <xdr:to>
      <xdr:col>6</xdr:col>
      <xdr:colOff>27370</xdr:colOff>
      <xdr:row>4</xdr:row>
      <xdr:rowOff>4483</xdr:rowOff>
    </xdr:to>
    <xdr:sp macro="" textlink="">
      <xdr:nvSpPr>
        <xdr:cNvPr id="5" name="Rectangle 4"/>
        <xdr:cNvSpPr/>
      </xdr:nvSpPr>
      <xdr:spPr bwMode="auto">
        <a:xfrm>
          <a:off x="7210425" y="628650"/>
          <a:ext cx="1189420" cy="31880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Etalonnage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457200</xdr:colOff>
      <xdr:row>1</xdr:row>
      <xdr:rowOff>76200</xdr:rowOff>
    </xdr:from>
    <xdr:to>
      <xdr:col>21</xdr:col>
      <xdr:colOff>47625</xdr:colOff>
      <xdr:row>1</xdr:row>
      <xdr:rowOff>409575</xdr:rowOff>
    </xdr:to>
    <xdr:pic>
      <xdr:nvPicPr>
        <xdr:cNvPr id="12389" name="Image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66700"/>
          <a:ext cx="1876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368300</xdr:colOff>
      <xdr:row>2</xdr:row>
      <xdr:rowOff>0</xdr:rowOff>
    </xdr:from>
    <xdr:to>
      <xdr:col>17</xdr:col>
      <xdr:colOff>14670</xdr:colOff>
      <xdr:row>2</xdr:row>
      <xdr:rowOff>318808</xdr:rowOff>
    </xdr:to>
    <xdr:sp macro="" textlink="">
      <xdr:nvSpPr>
        <xdr:cNvPr id="8" name="Rectangle 7"/>
        <xdr:cNvSpPr/>
      </xdr:nvSpPr>
      <xdr:spPr bwMode="auto">
        <a:xfrm>
          <a:off x="8521700" y="647700"/>
          <a:ext cx="1513270" cy="31880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10km 5 ent.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457200</xdr:colOff>
      <xdr:row>1</xdr:row>
      <xdr:rowOff>76200</xdr:rowOff>
    </xdr:from>
    <xdr:to>
      <xdr:col>22</xdr:col>
      <xdr:colOff>47625</xdr:colOff>
      <xdr:row>1</xdr:row>
      <xdr:rowOff>409575</xdr:rowOff>
    </xdr:to>
    <xdr:pic>
      <xdr:nvPicPr>
        <xdr:cNvPr id="2153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7175" y="323850"/>
          <a:ext cx="1876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380999</xdr:colOff>
      <xdr:row>2</xdr:row>
      <xdr:rowOff>11206</xdr:rowOff>
    </xdr:from>
    <xdr:to>
      <xdr:col>17</xdr:col>
      <xdr:colOff>27370</xdr:colOff>
      <xdr:row>2</xdr:row>
      <xdr:rowOff>330014</xdr:rowOff>
    </xdr:to>
    <xdr:sp macro="" textlink="">
      <xdr:nvSpPr>
        <xdr:cNvPr id="6" name="Rectangle 5"/>
        <xdr:cNvSpPr/>
      </xdr:nvSpPr>
      <xdr:spPr bwMode="auto">
        <a:xfrm>
          <a:off x="8236323" y="896471"/>
          <a:ext cx="1506547" cy="31880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10km 4 ent.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457200</xdr:colOff>
      <xdr:row>1</xdr:row>
      <xdr:rowOff>76200</xdr:rowOff>
    </xdr:from>
    <xdr:to>
      <xdr:col>21</xdr:col>
      <xdr:colOff>47625</xdr:colOff>
      <xdr:row>1</xdr:row>
      <xdr:rowOff>409575</xdr:rowOff>
    </xdr:to>
    <xdr:pic>
      <xdr:nvPicPr>
        <xdr:cNvPr id="11373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76225"/>
          <a:ext cx="1876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361950</xdr:colOff>
      <xdr:row>2</xdr:row>
      <xdr:rowOff>0</xdr:rowOff>
    </xdr:from>
    <xdr:to>
      <xdr:col>17</xdr:col>
      <xdr:colOff>11122</xdr:colOff>
      <xdr:row>2</xdr:row>
      <xdr:rowOff>318808</xdr:rowOff>
    </xdr:to>
    <xdr:sp macro="" textlink="">
      <xdr:nvSpPr>
        <xdr:cNvPr id="6" name="Rectangle 5"/>
        <xdr:cNvSpPr/>
      </xdr:nvSpPr>
      <xdr:spPr bwMode="auto">
        <a:xfrm>
          <a:off x="8486775" y="781050"/>
          <a:ext cx="1506547" cy="31880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10km 3 ent.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457200</xdr:colOff>
      <xdr:row>1</xdr:row>
      <xdr:rowOff>76200</xdr:rowOff>
    </xdr:from>
    <xdr:to>
      <xdr:col>21</xdr:col>
      <xdr:colOff>47625</xdr:colOff>
      <xdr:row>2</xdr:row>
      <xdr:rowOff>0</xdr:rowOff>
    </xdr:to>
    <xdr:pic>
      <xdr:nvPicPr>
        <xdr:cNvPr id="926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59150" y="238125"/>
          <a:ext cx="1876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180975</xdr:colOff>
      <xdr:row>1</xdr:row>
      <xdr:rowOff>76200</xdr:rowOff>
    </xdr:from>
    <xdr:to>
      <xdr:col>12</xdr:col>
      <xdr:colOff>533400</xdr:colOff>
      <xdr:row>1</xdr:row>
      <xdr:rowOff>409575</xdr:rowOff>
    </xdr:to>
    <xdr:pic>
      <xdr:nvPicPr>
        <xdr:cNvPr id="926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6925" y="238125"/>
          <a:ext cx="1876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209550</xdr:colOff>
      <xdr:row>2</xdr:row>
      <xdr:rowOff>0</xdr:rowOff>
    </xdr:from>
    <xdr:to>
      <xdr:col>9</xdr:col>
      <xdr:colOff>192097</xdr:colOff>
      <xdr:row>3</xdr:row>
      <xdr:rowOff>156883</xdr:rowOff>
    </xdr:to>
    <xdr:sp macro="" textlink="">
      <xdr:nvSpPr>
        <xdr:cNvPr id="5" name="Rectangle 4"/>
        <xdr:cNvSpPr/>
      </xdr:nvSpPr>
      <xdr:spPr bwMode="auto">
        <a:xfrm>
          <a:off x="7724775" y="619125"/>
          <a:ext cx="1506547" cy="31880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Constantes</a:t>
          </a:r>
        </a:p>
      </xdr:txBody>
    </xdr:sp>
    <xdr:clientData/>
  </xdr:twoCellAnchor>
  <xdr:twoCellAnchor>
    <xdr:from>
      <xdr:col>7</xdr:col>
      <xdr:colOff>123825</xdr:colOff>
      <xdr:row>6</xdr:row>
      <xdr:rowOff>219075</xdr:rowOff>
    </xdr:from>
    <xdr:to>
      <xdr:col>8</xdr:col>
      <xdr:colOff>752475</xdr:colOff>
      <xdr:row>15</xdr:row>
      <xdr:rowOff>114300</xdr:rowOff>
    </xdr:to>
    <xdr:sp macro="" textlink="">
      <xdr:nvSpPr>
        <xdr:cNvPr id="2" name="Ellipse 1"/>
        <xdr:cNvSpPr/>
      </xdr:nvSpPr>
      <xdr:spPr bwMode="auto">
        <a:xfrm>
          <a:off x="7343775" y="1485900"/>
          <a:ext cx="1390650" cy="1390650"/>
        </a:xfrm>
        <a:prstGeom prst="ellipse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 rtl="0">
            <a:defRPr sz="1000"/>
          </a:pPr>
          <a:r>
            <a:rPr lang="fr-BE" sz="1100" b="1" i="0" u="none" strike="noStrike" baseline="0">
              <a:solidFill>
                <a:srgbClr val="FFFFFF"/>
              </a:solidFill>
              <a:latin typeface="Calibri"/>
            </a:rPr>
            <a:t>Ne modifiez ces constantes que si vous êtes sûr de ce que vous faites!!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266700</xdr:colOff>
      <xdr:row>1</xdr:row>
      <xdr:rowOff>47625</xdr:rowOff>
    </xdr:from>
    <xdr:to>
      <xdr:col>17</xdr:col>
      <xdr:colOff>685800</xdr:colOff>
      <xdr:row>1</xdr:row>
      <xdr:rowOff>428625</xdr:rowOff>
    </xdr:to>
    <xdr:pic>
      <xdr:nvPicPr>
        <xdr:cNvPr id="13334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209550"/>
          <a:ext cx="2076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66675</xdr:colOff>
      <xdr:row>2</xdr:row>
      <xdr:rowOff>9525</xdr:rowOff>
    </xdr:from>
    <xdr:to>
      <xdr:col>13</xdr:col>
      <xdr:colOff>744547</xdr:colOff>
      <xdr:row>4</xdr:row>
      <xdr:rowOff>4483</xdr:rowOff>
    </xdr:to>
    <xdr:sp macro="" textlink="">
      <xdr:nvSpPr>
        <xdr:cNvPr id="5" name="Rectangle 4"/>
        <xdr:cNvSpPr/>
      </xdr:nvSpPr>
      <xdr:spPr bwMode="auto">
        <a:xfrm>
          <a:off x="7639050" y="628650"/>
          <a:ext cx="1506547" cy="31880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VMA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ropri&#233;taire/Bureau/ZATOPEK_Pr&#233;paration_10Km.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oger/LOCALS~1/Temp/2preparation%20entraineme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Etalonnage"/>
      <sheetName val="10 Km 5 ent."/>
      <sheetName val="10 Km 4 ent."/>
      <sheetName val="10 Km 3 ent."/>
      <sheetName val="constantes"/>
      <sheetName val="VM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Etalonnage"/>
      <sheetName val="MARATHON6"/>
      <sheetName val="MARATHON5"/>
      <sheetName val="MARATHON4"/>
      <sheetName val="VMA"/>
      <sheetName val="constant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1D2FBE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1D2FBE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image" Target="../media/image1.pn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2.xml"/><Relationship Id="rId4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S125"/>
  <sheetViews>
    <sheetView showGridLines="0" tabSelected="1" zoomScaleNormal="100" workbookViewId="0">
      <selection activeCell="P9" sqref="P9"/>
    </sheetView>
  </sheetViews>
  <sheetFormatPr baseColWidth="10" defaultRowHeight="12.75" x14ac:dyDescent="0.2"/>
  <cols>
    <col min="1" max="1" width="6.140625" customWidth="1"/>
    <col min="3" max="3" width="13.5703125" customWidth="1"/>
  </cols>
  <sheetData>
    <row r="1" spans="1:19" x14ac:dyDescent="0.2"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9" s="23" customFormat="1" ht="36" customHeight="1" x14ac:dyDescent="0.5">
      <c r="A2" s="293"/>
      <c r="B2" s="294" t="s">
        <v>266</v>
      </c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</row>
    <row r="3" spans="1:19" x14ac:dyDescent="0.2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</row>
    <row r="4" spans="1:19" ht="29.25" customHeight="1" x14ac:dyDescent="0.2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</row>
    <row r="5" spans="1:19" x14ac:dyDescent="0.2">
      <c r="A5" s="12"/>
      <c r="B5" s="159"/>
      <c r="C5" s="295"/>
      <c r="D5" s="295"/>
      <c r="E5" s="295"/>
      <c r="F5" s="295"/>
      <c r="G5" s="295"/>
      <c r="H5" s="295"/>
      <c r="I5" s="295"/>
      <c r="J5" s="295"/>
      <c r="K5" s="295"/>
      <c r="L5" s="12"/>
      <c r="M5" s="12"/>
      <c r="N5" s="12"/>
      <c r="O5" s="12"/>
      <c r="P5" s="12"/>
      <c r="Q5" s="12"/>
      <c r="R5" s="12"/>
      <c r="S5" s="12"/>
    </row>
    <row r="6" spans="1:19" ht="21.75" customHeight="1" x14ac:dyDescent="0.2">
      <c r="A6" s="12"/>
      <c r="B6" s="157" t="s">
        <v>267</v>
      </c>
      <c r="C6" s="157"/>
      <c r="D6" s="157"/>
      <c r="E6" s="158"/>
      <c r="F6" s="158"/>
      <c r="G6" s="158"/>
      <c r="H6" s="158"/>
      <c r="I6" s="158"/>
      <c r="J6" s="158"/>
      <c r="K6" s="158"/>
      <c r="L6" s="12"/>
      <c r="M6" s="12"/>
      <c r="N6" s="12"/>
      <c r="O6" s="12"/>
      <c r="P6" s="12"/>
      <c r="Q6" s="12"/>
      <c r="R6" s="12"/>
      <c r="S6" s="12"/>
    </row>
    <row r="7" spans="1:19" ht="8.25" hidden="1" customHeight="1" thickBot="1" x14ac:dyDescent="0.25">
      <c r="A7" s="12"/>
      <c r="B7" s="162" t="s">
        <v>15</v>
      </c>
      <c r="C7" s="163"/>
      <c r="D7" s="163"/>
      <c r="E7" s="163"/>
      <c r="F7" s="164"/>
      <c r="G7" s="164"/>
      <c r="H7" s="164"/>
      <c r="I7" s="164"/>
      <c r="J7" s="164"/>
      <c r="K7" s="165"/>
      <c r="L7" s="12"/>
      <c r="M7" s="12"/>
      <c r="N7" s="12"/>
      <c r="O7" s="12"/>
      <c r="P7" s="12"/>
      <c r="Q7" s="12"/>
      <c r="R7" s="12"/>
      <c r="S7" s="12"/>
    </row>
    <row r="8" spans="1:19" s="24" customFormat="1" ht="8.25" customHeight="1" x14ac:dyDescent="0.2">
      <c r="A8" s="296"/>
      <c r="B8" s="25"/>
      <c r="C8" s="25"/>
      <c r="D8" s="25"/>
      <c r="E8" s="25"/>
      <c r="F8" s="26"/>
      <c r="G8" s="26"/>
      <c r="H8" s="26"/>
      <c r="I8" s="26"/>
      <c r="J8" s="26"/>
      <c r="K8" s="26"/>
      <c r="L8" s="296"/>
      <c r="M8" s="296"/>
      <c r="N8" s="296"/>
      <c r="O8" s="296"/>
      <c r="P8" s="296"/>
      <c r="Q8" s="296"/>
      <c r="R8" s="296"/>
      <c r="S8" s="296"/>
    </row>
    <row r="9" spans="1:19" s="24" customFormat="1" ht="6" customHeight="1" x14ac:dyDescent="0.2">
      <c r="A9" s="296"/>
      <c r="B9" s="41"/>
      <c r="C9" s="41"/>
      <c r="D9" s="41"/>
      <c r="E9" s="41"/>
      <c r="F9" s="42"/>
      <c r="G9" s="42"/>
      <c r="H9" s="42"/>
      <c r="I9" s="42"/>
      <c r="J9" s="42"/>
      <c r="K9" s="42"/>
      <c r="L9" s="296"/>
      <c r="M9" s="296"/>
      <c r="N9" s="296"/>
      <c r="O9" s="296"/>
      <c r="P9" s="296"/>
      <c r="Q9" s="296"/>
      <c r="R9" s="296"/>
      <c r="S9" s="296"/>
    </row>
    <row r="10" spans="1:19" ht="18" customHeight="1" x14ac:dyDescent="0.2">
      <c r="A10" s="12"/>
      <c r="B10" s="297" t="s">
        <v>143</v>
      </c>
      <c r="C10" s="297"/>
      <c r="D10" s="297"/>
      <c r="E10" s="297"/>
      <c r="F10" s="297"/>
      <c r="G10" s="297"/>
      <c r="H10" s="297"/>
      <c r="I10" s="297"/>
      <c r="J10" s="297"/>
      <c r="K10" s="297"/>
      <c r="L10" s="12"/>
      <c r="M10" s="12"/>
      <c r="N10" s="12"/>
      <c r="O10" s="12"/>
      <c r="P10" s="12"/>
      <c r="Q10" s="12"/>
      <c r="R10" s="12"/>
      <c r="S10" s="12"/>
    </row>
    <row r="11" spans="1:19" ht="12.75" customHeight="1" x14ac:dyDescent="0.2">
      <c r="A11" s="12"/>
      <c r="B11" s="297" t="s">
        <v>144</v>
      </c>
      <c r="C11" s="297"/>
      <c r="D11" s="297"/>
      <c r="E11" s="297"/>
      <c r="F11" s="297"/>
      <c r="G11" s="297"/>
      <c r="H11" s="297"/>
      <c r="I11" s="297"/>
      <c r="J11" s="297"/>
      <c r="K11" s="297"/>
      <c r="L11" s="12"/>
      <c r="M11" s="12"/>
      <c r="N11" s="12"/>
      <c r="O11" s="12"/>
      <c r="P11" s="12"/>
      <c r="Q11" s="12"/>
      <c r="R11" s="12"/>
      <c r="S11" s="12"/>
    </row>
    <row r="12" spans="1:19" ht="12.75" customHeight="1" x14ac:dyDescent="0.2">
      <c r="A12" s="12"/>
      <c r="B12" s="297" t="s">
        <v>272</v>
      </c>
      <c r="C12" s="297"/>
      <c r="D12" s="297"/>
      <c r="E12" s="297"/>
      <c r="F12" s="297"/>
      <c r="G12" s="297"/>
      <c r="H12" s="297"/>
      <c r="I12" s="297"/>
      <c r="J12" s="297"/>
      <c r="K12" s="297"/>
      <c r="L12" s="12"/>
      <c r="M12" s="12"/>
      <c r="N12" s="12"/>
      <c r="O12" s="12"/>
      <c r="P12" s="12"/>
      <c r="Q12" s="12"/>
      <c r="R12" s="12"/>
      <c r="S12" s="12"/>
    </row>
    <row r="13" spans="1:19" ht="12.75" customHeight="1" x14ac:dyDescent="0.2">
      <c r="A13" s="12"/>
      <c r="B13" s="298"/>
      <c r="C13" s="298"/>
      <c r="D13" s="298"/>
      <c r="E13" s="298"/>
      <c r="F13" s="298"/>
      <c r="G13" s="298"/>
      <c r="H13" s="298"/>
      <c r="I13" s="298"/>
      <c r="J13" s="298"/>
      <c r="K13" s="298"/>
      <c r="L13" s="12"/>
      <c r="M13" s="12"/>
      <c r="N13" s="12"/>
      <c r="O13" s="12"/>
      <c r="P13" s="12"/>
      <c r="Q13" s="12"/>
      <c r="R13" s="12"/>
      <c r="S13" s="12"/>
    </row>
    <row r="14" spans="1:19" ht="14.25" x14ac:dyDescent="0.2">
      <c r="A14" s="12"/>
      <c r="B14" s="299" t="s">
        <v>167</v>
      </c>
      <c r="C14" s="299"/>
      <c r="D14" s="299"/>
      <c r="E14" s="299"/>
      <c r="F14" s="299"/>
      <c r="G14" s="299"/>
      <c r="H14" s="299"/>
      <c r="I14" s="299"/>
      <c r="J14" s="299"/>
      <c r="K14" s="299"/>
      <c r="L14" s="12"/>
      <c r="M14" s="12"/>
      <c r="N14" s="12"/>
      <c r="O14" s="12"/>
      <c r="P14" s="12"/>
      <c r="Q14" s="12"/>
      <c r="R14" s="12"/>
      <c r="S14" s="12"/>
    </row>
    <row r="15" spans="1:19" ht="15" customHeight="1" x14ac:dyDescent="0.2">
      <c r="A15" s="12"/>
      <c r="B15" s="297" t="s">
        <v>273</v>
      </c>
      <c r="C15" s="297"/>
      <c r="D15" s="297"/>
      <c r="E15" s="297"/>
      <c r="F15" s="297"/>
      <c r="G15" s="297"/>
      <c r="H15" s="297"/>
      <c r="I15" s="297"/>
      <c r="J15" s="297"/>
      <c r="K15" s="297"/>
      <c r="L15" s="12"/>
      <c r="M15" s="12"/>
      <c r="N15" s="12"/>
      <c r="O15" s="12"/>
      <c r="P15" s="12"/>
      <c r="Q15" s="12"/>
      <c r="R15" s="12"/>
      <c r="S15" s="12"/>
    </row>
    <row r="16" spans="1:19" ht="15" customHeight="1" x14ac:dyDescent="0.2">
      <c r="A16" s="12"/>
      <c r="B16" s="299" t="s">
        <v>274</v>
      </c>
      <c r="C16" s="297"/>
      <c r="D16" s="297"/>
      <c r="E16" s="297"/>
      <c r="F16" s="297"/>
      <c r="G16" s="297"/>
      <c r="H16" s="297"/>
      <c r="I16" s="297"/>
      <c r="J16" s="297"/>
      <c r="K16" s="297"/>
      <c r="L16" s="12"/>
      <c r="M16" s="12"/>
      <c r="N16" s="12"/>
      <c r="O16" s="12"/>
      <c r="P16" s="12"/>
      <c r="Q16" s="12"/>
      <c r="R16" s="12"/>
      <c r="S16" s="12"/>
    </row>
    <row r="17" spans="1:19" ht="14.25" x14ac:dyDescent="0.2">
      <c r="A17" s="12"/>
      <c r="B17" s="297" t="s">
        <v>275</v>
      </c>
      <c r="C17" s="297"/>
      <c r="D17" s="297"/>
      <c r="E17" s="297"/>
      <c r="F17" s="297"/>
      <c r="G17" s="297"/>
      <c r="H17" s="297"/>
      <c r="I17" s="297"/>
      <c r="J17" s="297"/>
      <c r="K17" s="297"/>
      <c r="L17" s="12"/>
      <c r="M17" s="12"/>
      <c r="N17" s="12"/>
      <c r="O17" s="12"/>
      <c r="P17" s="12"/>
      <c r="Q17" s="12"/>
      <c r="R17" s="12"/>
      <c r="S17" s="12"/>
    </row>
    <row r="18" spans="1:19" ht="14.25" x14ac:dyDescent="0.2">
      <c r="A18" s="12"/>
      <c r="B18" s="299" t="s">
        <v>276</v>
      </c>
      <c r="C18" s="297"/>
      <c r="D18" s="297"/>
      <c r="E18" s="297"/>
      <c r="F18" s="297"/>
      <c r="G18" s="297"/>
      <c r="H18" s="297"/>
      <c r="I18" s="297"/>
      <c r="J18" s="297"/>
      <c r="K18" s="297"/>
      <c r="L18" s="12"/>
      <c r="M18" s="12"/>
      <c r="N18" s="12"/>
      <c r="O18" s="12"/>
      <c r="P18" s="12"/>
      <c r="Q18" s="12"/>
      <c r="R18" s="12"/>
      <c r="S18" s="12"/>
    </row>
    <row r="19" spans="1:19" ht="14.25" x14ac:dyDescent="0.2">
      <c r="A19" s="12"/>
      <c r="B19" s="297" t="s">
        <v>277</v>
      </c>
      <c r="C19" s="297"/>
      <c r="D19" s="297"/>
      <c r="E19" s="297"/>
      <c r="F19" s="297"/>
      <c r="G19" s="297"/>
      <c r="H19" s="297"/>
      <c r="I19" s="297"/>
      <c r="J19" s="297"/>
      <c r="K19" s="297"/>
      <c r="L19" s="12"/>
      <c r="M19" s="12"/>
      <c r="N19" s="12"/>
      <c r="O19" s="12"/>
      <c r="P19" s="12"/>
      <c r="Q19" s="12"/>
      <c r="R19" s="12"/>
      <c r="S19" s="12"/>
    </row>
    <row r="20" spans="1:19" ht="14.25" x14ac:dyDescent="0.2">
      <c r="A20" s="12"/>
      <c r="B20" s="297"/>
      <c r="C20" s="297"/>
      <c r="D20" s="297"/>
      <c r="E20" s="297"/>
      <c r="F20" s="297"/>
      <c r="G20" s="297"/>
      <c r="H20" s="297"/>
      <c r="I20" s="297"/>
      <c r="J20" s="297"/>
      <c r="K20" s="297"/>
      <c r="L20" s="12"/>
      <c r="M20" s="12"/>
      <c r="N20" s="12"/>
      <c r="O20" s="12"/>
      <c r="P20" s="12"/>
      <c r="Q20" s="12"/>
      <c r="R20" s="12"/>
      <c r="S20" s="12"/>
    </row>
    <row r="21" spans="1:19" ht="14.25" x14ac:dyDescent="0.2">
      <c r="A21" s="12"/>
      <c r="B21" s="297" t="s">
        <v>168</v>
      </c>
      <c r="C21" s="297"/>
      <c r="D21" s="297"/>
      <c r="E21" s="297"/>
      <c r="F21" s="297"/>
      <c r="G21" s="297"/>
      <c r="H21" s="297"/>
      <c r="I21" s="297"/>
      <c r="J21" s="297"/>
      <c r="K21" s="297"/>
      <c r="L21" s="12"/>
      <c r="M21" s="12"/>
      <c r="N21" s="12"/>
      <c r="O21" s="12"/>
      <c r="P21" s="12"/>
      <c r="Q21" s="12"/>
      <c r="R21" s="12"/>
      <c r="S21" s="12"/>
    </row>
    <row r="22" spans="1:19" ht="14.25" x14ac:dyDescent="0.2">
      <c r="A22" s="12"/>
      <c r="B22" s="297" t="s">
        <v>278</v>
      </c>
      <c r="C22" s="297"/>
      <c r="D22" s="297"/>
      <c r="E22" s="297"/>
      <c r="F22" s="297"/>
      <c r="G22" s="297"/>
      <c r="H22" s="297"/>
      <c r="I22" s="297"/>
      <c r="J22" s="297"/>
      <c r="K22" s="297"/>
      <c r="L22" s="12"/>
      <c r="M22" s="12"/>
      <c r="N22" s="12"/>
      <c r="O22" s="12"/>
      <c r="P22" s="12"/>
      <c r="Q22" s="12"/>
      <c r="R22" s="12"/>
      <c r="S22" s="12"/>
    </row>
    <row r="23" spans="1:19" ht="14.25" x14ac:dyDescent="0.2">
      <c r="A23" s="12"/>
      <c r="B23" s="297"/>
      <c r="C23" s="297"/>
      <c r="D23" s="297"/>
      <c r="E23" s="297"/>
      <c r="F23" s="297"/>
      <c r="G23" s="297"/>
      <c r="H23" s="297"/>
      <c r="I23" s="297"/>
      <c r="J23" s="297"/>
      <c r="K23" s="297"/>
      <c r="L23" s="12"/>
      <c r="M23" s="12"/>
      <c r="N23" s="12"/>
      <c r="O23" s="12"/>
      <c r="P23" s="12"/>
      <c r="Q23" s="12"/>
      <c r="R23" s="12"/>
      <c r="S23" s="12"/>
    </row>
    <row r="24" spans="1:19" ht="14.25" x14ac:dyDescent="0.2">
      <c r="A24" s="12"/>
      <c r="B24" s="299" t="s">
        <v>279</v>
      </c>
      <c r="C24" s="297"/>
      <c r="D24" s="297"/>
      <c r="E24" s="297"/>
      <c r="F24" s="297"/>
      <c r="G24" s="297"/>
      <c r="H24" s="297"/>
      <c r="I24" s="297"/>
      <c r="J24" s="297"/>
      <c r="K24" s="297"/>
      <c r="L24" s="12"/>
      <c r="M24" s="12"/>
      <c r="N24" s="12"/>
      <c r="O24" s="12"/>
      <c r="P24" s="12"/>
      <c r="Q24" s="12"/>
      <c r="R24" s="12"/>
      <c r="S24" s="12"/>
    </row>
    <row r="25" spans="1:19" ht="14.25" x14ac:dyDescent="0.2">
      <c r="A25" s="12"/>
      <c r="B25" s="297" t="s">
        <v>145</v>
      </c>
      <c r="C25" s="297"/>
      <c r="D25" s="297"/>
      <c r="E25" s="297"/>
      <c r="F25" s="297"/>
      <c r="G25" s="297"/>
      <c r="H25" s="297"/>
      <c r="I25" s="297"/>
      <c r="J25" s="297"/>
      <c r="K25" s="297"/>
      <c r="L25" s="12"/>
      <c r="M25" s="12"/>
      <c r="N25" s="12"/>
      <c r="O25" s="12"/>
      <c r="P25" s="12"/>
      <c r="Q25" s="12"/>
      <c r="R25" s="12"/>
      <c r="S25" s="12"/>
    </row>
    <row r="26" spans="1:19" ht="14.25" x14ac:dyDescent="0.2">
      <c r="A26" s="12"/>
      <c r="B26" s="297"/>
      <c r="C26" s="297"/>
      <c r="D26" s="297"/>
      <c r="E26" s="297"/>
      <c r="F26" s="297"/>
      <c r="G26" s="297"/>
      <c r="H26" s="297"/>
      <c r="I26" s="297"/>
      <c r="J26" s="297"/>
      <c r="K26" s="297"/>
      <c r="L26" s="12"/>
      <c r="M26" s="12"/>
      <c r="N26" s="12"/>
      <c r="O26" s="12"/>
      <c r="P26" s="12"/>
      <c r="Q26" s="12"/>
      <c r="R26" s="12"/>
      <c r="S26" s="12"/>
    </row>
    <row r="27" spans="1:19" s="16" customFormat="1" ht="14.25" x14ac:dyDescent="0.2">
      <c r="A27" s="300"/>
      <c r="B27" s="299" t="s">
        <v>280</v>
      </c>
      <c r="C27" s="297"/>
      <c r="D27" s="297"/>
      <c r="E27" s="297"/>
      <c r="F27" s="297"/>
      <c r="G27" s="297"/>
      <c r="H27" s="297"/>
      <c r="I27" s="297"/>
      <c r="J27" s="297"/>
      <c r="K27" s="297"/>
      <c r="L27" s="300"/>
      <c r="M27" s="300"/>
      <c r="N27" s="300"/>
      <c r="O27" s="300"/>
      <c r="P27" s="300"/>
      <c r="Q27" s="300"/>
      <c r="R27" s="300"/>
      <c r="S27" s="300"/>
    </row>
    <row r="28" spans="1:19" s="16" customFormat="1" ht="14.25" x14ac:dyDescent="0.2">
      <c r="A28" s="300"/>
      <c r="B28" s="297" t="s">
        <v>146</v>
      </c>
      <c r="C28" s="297"/>
      <c r="D28" s="297"/>
      <c r="E28" s="297"/>
      <c r="F28" s="297"/>
      <c r="G28" s="297"/>
      <c r="H28" s="297"/>
      <c r="I28" s="297"/>
      <c r="J28" s="297"/>
      <c r="K28" s="297"/>
      <c r="L28" s="300"/>
      <c r="M28" s="300"/>
      <c r="N28" s="300"/>
      <c r="O28" s="300"/>
      <c r="P28" s="300"/>
      <c r="Q28" s="300"/>
      <c r="R28" s="300"/>
      <c r="S28" s="300"/>
    </row>
    <row r="29" spans="1:19" s="16" customFormat="1" ht="9.75" customHeight="1" x14ac:dyDescent="0.2">
      <c r="A29" s="300"/>
      <c r="B29" s="298"/>
      <c r="C29" s="298"/>
      <c r="D29" s="298"/>
      <c r="E29" s="298"/>
      <c r="F29" s="298"/>
      <c r="G29" s="298"/>
      <c r="H29" s="298"/>
      <c r="I29" s="298"/>
      <c r="J29" s="298"/>
      <c r="K29" s="298"/>
      <c r="L29" s="300"/>
      <c r="M29" s="300"/>
      <c r="N29" s="300"/>
      <c r="O29" s="300"/>
      <c r="P29" s="300"/>
      <c r="Q29" s="300"/>
      <c r="R29" s="300"/>
      <c r="S29" s="300"/>
    </row>
    <row r="30" spans="1:19" s="16" customFormat="1" ht="14.25" x14ac:dyDescent="0.2">
      <c r="B30" s="28"/>
      <c r="C30" s="28"/>
      <c r="D30" s="28"/>
      <c r="E30" s="28"/>
      <c r="F30" s="28"/>
      <c r="G30" s="28"/>
      <c r="H30" s="28"/>
      <c r="I30" s="28"/>
      <c r="J30" s="28"/>
      <c r="K30" s="28"/>
    </row>
    <row r="31" spans="1:19" s="16" customFormat="1" ht="18" x14ac:dyDescent="0.2">
      <c r="B31" s="301" t="s">
        <v>16</v>
      </c>
      <c r="C31" s="302"/>
      <c r="D31" s="302"/>
      <c r="E31" s="302"/>
      <c r="F31" s="302"/>
      <c r="G31" s="302"/>
      <c r="H31" s="302"/>
      <c r="I31" s="302"/>
      <c r="J31" s="302"/>
      <c r="K31" s="302"/>
    </row>
    <row r="32" spans="1:19" s="16" customFormat="1" ht="8.25" customHeight="1" x14ac:dyDescent="0.25">
      <c r="B32" s="29"/>
      <c r="C32" s="30"/>
      <c r="D32" s="30"/>
      <c r="E32" s="30"/>
      <c r="F32" s="30"/>
      <c r="G32" s="30"/>
      <c r="H32" s="30"/>
      <c r="I32" s="30"/>
      <c r="J32" s="30"/>
      <c r="K32" s="30"/>
    </row>
    <row r="33" spans="2:11" s="16" customFormat="1" ht="20.25" customHeight="1" x14ac:dyDescent="0.2">
      <c r="B33" s="166" t="s">
        <v>148</v>
      </c>
      <c r="C33" s="166"/>
      <c r="D33" s="166"/>
      <c r="E33" s="166"/>
      <c r="F33" s="167"/>
      <c r="G33" s="167"/>
      <c r="H33" s="167"/>
      <c r="I33" s="167"/>
      <c r="J33" s="167"/>
      <c r="K33" s="167"/>
    </row>
    <row r="34" spans="2:11" s="16" customFormat="1" ht="7.5" customHeight="1" x14ac:dyDescent="0.2">
      <c r="B34" s="31"/>
      <c r="C34" s="31"/>
      <c r="D34" s="31"/>
      <c r="E34" s="31"/>
      <c r="F34" s="32"/>
      <c r="G34" s="32"/>
      <c r="H34" s="32"/>
      <c r="I34" s="32"/>
      <c r="J34" s="32"/>
      <c r="K34" s="32"/>
    </row>
    <row r="35" spans="2:11" s="16" customFormat="1" ht="20.25" customHeight="1" x14ac:dyDescent="0.2">
      <c r="B35" s="166" t="s">
        <v>147</v>
      </c>
      <c r="C35" s="166"/>
      <c r="D35" s="166"/>
      <c r="E35" s="166"/>
      <c r="F35" s="167"/>
      <c r="G35" s="167"/>
      <c r="H35" s="167"/>
      <c r="I35" s="167"/>
      <c r="J35" s="167"/>
      <c r="K35" s="167"/>
    </row>
    <row r="36" spans="2:11" s="16" customFormat="1" ht="7.5" customHeight="1" x14ac:dyDescent="0.2">
      <c r="B36" s="31"/>
      <c r="C36" s="31"/>
      <c r="D36" s="31"/>
      <c r="E36" s="31"/>
      <c r="F36" s="32"/>
      <c r="G36" s="32"/>
      <c r="H36" s="32"/>
      <c r="I36" s="32"/>
      <c r="J36" s="32"/>
      <c r="K36" s="32"/>
    </row>
    <row r="37" spans="2:11" s="16" customFormat="1" ht="19.5" customHeight="1" x14ac:dyDescent="0.2">
      <c r="B37" s="166" t="s">
        <v>210</v>
      </c>
      <c r="C37" s="166"/>
      <c r="D37" s="166"/>
      <c r="E37" s="166"/>
      <c r="F37" s="167"/>
      <c r="G37" s="167"/>
      <c r="H37" s="167"/>
      <c r="I37" s="167"/>
      <c r="J37" s="167"/>
      <c r="K37" s="167"/>
    </row>
    <row r="38" spans="2:11" s="16" customFormat="1" ht="17.25" customHeight="1" x14ac:dyDescent="0.2">
      <c r="B38" s="33"/>
      <c r="C38" s="33"/>
      <c r="D38" s="33"/>
      <c r="E38" s="33"/>
      <c r="F38" s="34"/>
      <c r="G38" s="34"/>
      <c r="H38" s="34"/>
      <c r="I38" s="34"/>
      <c r="J38" s="34"/>
      <c r="K38" s="34"/>
    </row>
    <row r="39" spans="2:11" s="16" customFormat="1" ht="18" x14ac:dyDescent="0.2">
      <c r="B39" s="157" t="s">
        <v>116</v>
      </c>
      <c r="C39" s="157"/>
      <c r="D39" s="157"/>
      <c r="E39" s="158"/>
      <c r="F39" s="158"/>
      <c r="G39" s="158"/>
      <c r="H39" s="158"/>
      <c r="I39" s="158"/>
      <c r="J39" s="158"/>
      <c r="K39" s="158"/>
    </row>
    <row r="40" spans="2:11" s="16" customFormat="1" ht="9" customHeight="1" x14ac:dyDescent="0.25">
      <c r="B40" s="35"/>
      <c r="C40" s="35"/>
      <c r="D40" s="35"/>
      <c r="E40" s="36"/>
      <c r="F40" s="36"/>
      <c r="G40" s="36"/>
      <c r="H40" s="36"/>
      <c r="I40" s="36"/>
      <c r="J40" s="36"/>
      <c r="K40" s="36"/>
    </row>
    <row r="41" spans="2:11" s="16" customFormat="1" ht="19.5" customHeight="1" x14ac:dyDescent="0.2">
      <c r="B41" s="303" t="s">
        <v>265</v>
      </c>
      <c r="C41" s="303"/>
      <c r="D41" s="303"/>
      <c r="E41" s="303"/>
      <c r="F41" s="303"/>
      <c r="G41" s="303"/>
      <c r="H41" s="303"/>
      <c r="I41" s="303"/>
      <c r="J41" s="303"/>
      <c r="K41" s="303"/>
    </row>
    <row r="42" spans="2:11" s="16" customFormat="1" ht="14.25" x14ac:dyDescent="0.2">
      <c r="B42" s="37"/>
      <c r="C42" s="37"/>
      <c r="D42" s="37"/>
      <c r="E42" s="37"/>
      <c r="F42" s="37"/>
      <c r="G42" s="37"/>
      <c r="H42" s="37"/>
      <c r="I42" s="37"/>
      <c r="J42" s="37"/>
      <c r="K42" s="37"/>
    </row>
    <row r="43" spans="2:11" s="16" customFormat="1" ht="18" x14ac:dyDescent="0.2">
      <c r="B43" s="157" t="s">
        <v>115</v>
      </c>
      <c r="C43" s="157"/>
      <c r="D43" s="157"/>
      <c r="E43" s="158"/>
      <c r="F43" s="158"/>
      <c r="G43" s="158"/>
      <c r="H43" s="158"/>
      <c r="I43" s="158"/>
      <c r="J43" s="158"/>
      <c r="K43" s="158"/>
    </row>
    <row r="44" spans="2:11" s="16" customFormat="1" ht="9" customHeight="1" x14ac:dyDescent="0.25">
      <c r="B44" s="35"/>
      <c r="C44" s="35"/>
      <c r="D44" s="35"/>
      <c r="E44" s="36"/>
      <c r="F44" s="36"/>
      <c r="G44" s="36"/>
      <c r="H44" s="36"/>
      <c r="I44" s="36"/>
      <c r="J44" s="36"/>
      <c r="K44" s="36"/>
    </row>
    <row r="45" spans="2:11" s="16" customFormat="1" ht="9" customHeight="1" x14ac:dyDescent="0.25">
      <c r="B45" s="39"/>
      <c r="C45" s="39"/>
      <c r="D45" s="39"/>
      <c r="E45" s="40"/>
      <c r="F45" s="40"/>
      <c r="G45" s="40"/>
      <c r="H45" s="40"/>
      <c r="I45" s="40"/>
      <c r="J45" s="40"/>
      <c r="K45" s="40"/>
    </row>
    <row r="46" spans="2:11" s="16" customFormat="1" ht="14.25" x14ac:dyDescent="0.2">
      <c r="B46" s="297" t="s">
        <v>281</v>
      </c>
      <c r="C46" s="297"/>
      <c r="D46" s="297"/>
      <c r="E46" s="297"/>
      <c r="F46" s="297"/>
      <c r="G46" s="297"/>
      <c r="H46" s="297"/>
      <c r="I46" s="297"/>
      <c r="J46" s="297"/>
      <c r="K46" s="297"/>
    </row>
    <row r="47" spans="2:11" s="16" customFormat="1" ht="14.25" x14ac:dyDescent="0.2">
      <c r="B47" s="297" t="s">
        <v>130</v>
      </c>
      <c r="C47" s="297"/>
      <c r="D47" s="297"/>
      <c r="E47" s="297"/>
      <c r="F47" s="297"/>
      <c r="G47" s="297"/>
      <c r="H47" s="297"/>
      <c r="I47" s="297"/>
      <c r="J47" s="297"/>
      <c r="K47" s="297"/>
    </row>
    <row r="48" spans="2:11" s="16" customFormat="1" ht="14.25" x14ac:dyDescent="0.2">
      <c r="B48" s="297" t="s">
        <v>166</v>
      </c>
      <c r="C48" s="297"/>
      <c r="D48" s="297"/>
      <c r="E48" s="297"/>
      <c r="F48" s="297"/>
      <c r="G48" s="297"/>
      <c r="H48" s="297"/>
      <c r="I48" s="297"/>
      <c r="J48" s="297"/>
      <c r="K48" s="297"/>
    </row>
    <row r="49" spans="2:15" s="16" customFormat="1" ht="14.25" x14ac:dyDescent="0.2">
      <c r="B49" s="297" t="s">
        <v>130</v>
      </c>
      <c r="C49" s="297"/>
      <c r="D49" s="297"/>
      <c r="E49" s="297"/>
      <c r="F49" s="297"/>
      <c r="G49" s="297"/>
      <c r="H49" s="297"/>
      <c r="I49" s="297"/>
      <c r="J49" s="297"/>
      <c r="K49" s="297"/>
    </row>
    <row r="50" spans="2:15" s="16" customFormat="1" ht="14.25" x14ac:dyDescent="0.2">
      <c r="B50" s="299" t="s">
        <v>131</v>
      </c>
      <c r="C50" s="299"/>
      <c r="D50" s="299"/>
      <c r="E50" s="299"/>
      <c r="F50" s="299"/>
      <c r="G50" s="299"/>
      <c r="H50" s="299"/>
      <c r="I50" s="299"/>
      <c r="J50" s="299"/>
      <c r="K50" s="299"/>
    </row>
    <row r="51" spans="2:15" s="16" customFormat="1" ht="14.25" x14ac:dyDescent="0.2">
      <c r="B51" s="299" t="s">
        <v>132</v>
      </c>
      <c r="C51" s="299"/>
      <c r="D51" s="299"/>
      <c r="E51" s="299"/>
      <c r="F51" s="299"/>
      <c r="G51" s="299"/>
      <c r="H51" s="299"/>
      <c r="I51" s="299"/>
      <c r="J51" s="299"/>
      <c r="K51" s="299"/>
    </row>
    <row r="52" spans="2:15" ht="12.75" customHeight="1" x14ac:dyDescent="0.2">
      <c r="B52" s="297" t="s">
        <v>133</v>
      </c>
      <c r="C52" s="297"/>
      <c r="D52" s="297"/>
      <c r="E52" s="297"/>
      <c r="F52" s="297"/>
      <c r="G52" s="297"/>
      <c r="H52" s="297"/>
      <c r="I52" s="297"/>
      <c r="J52" s="297"/>
      <c r="K52" s="297"/>
    </row>
    <row r="53" spans="2:15" ht="12.75" customHeight="1" x14ac:dyDescent="0.2">
      <c r="B53" s="299" t="s">
        <v>134</v>
      </c>
      <c r="C53" s="299"/>
      <c r="D53" s="299"/>
      <c r="E53" s="299"/>
      <c r="F53" s="299"/>
      <c r="G53" s="299"/>
      <c r="H53" s="299"/>
      <c r="I53" s="299"/>
      <c r="J53" s="299"/>
      <c r="K53" s="299"/>
    </row>
    <row r="54" spans="2:15" ht="12.75" customHeight="1" x14ac:dyDescent="0.2">
      <c r="B54" s="297" t="s">
        <v>135</v>
      </c>
      <c r="C54" s="297"/>
      <c r="D54" s="297"/>
      <c r="E54" s="297"/>
      <c r="F54" s="297"/>
      <c r="G54" s="297"/>
      <c r="H54" s="297"/>
      <c r="I54" s="297"/>
      <c r="J54" s="297"/>
      <c r="K54" s="297"/>
    </row>
    <row r="55" spans="2:15" ht="15.75" customHeight="1" x14ac:dyDescent="0.2">
      <c r="B55" s="297" t="s">
        <v>136</v>
      </c>
      <c r="C55" s="297"/>
      <c r="D55" s="297"/>
      <c r="E55" s="297"/>
      <c r="F55" s="297"/>
      <c r="G55" s="297"/>
      <c r="H55" s="297"/>
      <c r="I55" s="297"/>
      <c r="J55" s="297"/>
      <c r="K55" s="297"/>
      <c r="L55" s="5"/>
      <c r="M55" s="5"/>
      <c r="N55" s="4"/>
    </row>
    <row r="56" spans="2:15" ht="14.25" customHeight="1" x14ac:dyDescent="0.2">
      <c r="B56" s="297" t="s">
        <v>137</v>
      </c>
      <c r="C56" s="297"/>
      <c r="D56" s="297"/>
      <c r="E56" s="297"/>
      <c r="F56" s="297"/>
      <c r="G56" s="297"/>
      <c r="H56" s="297"/>
      <c r="I56" s="297"/>
      <c r="J56" s="297"/>
      <c r="K56" s="297"/>
      <c r="L56" s="5"/>
      <c r="M56" s="5"/>
      <c r="N56" s="4"/>
    </row>
    <row r="57" spans="2:15" ht="18.75" customHeight="1" x14ac:dyDescent="0.2">
      <c r="B57" s="297" t="s">
        <v>138</v>
      </c>
      <c r="C57" s="297"/>
      <c r="D57" s="297"/>
      <c r="E57" s="297"/>
      <c r="F57" s="297"/>
      <c r="G57" s="297"/>
      <c r="H57" s="297"/>
      <c r="I57" s="297"/>
      <c r="J57" s="297"/>
      <c r="K57" s="297"/>
      <c r="L57" s="5"/>
      <c r="M57" s="5"/>
      <c r="N57" s="4"/>
    </row>
    <row r="58" spans="2:15" ht="12.75" customHeight="1" x14ac:dyDescent="0.2">
      <c r="B58" s="299" t="s">
        <v>139</v>
      </c>
      <c r="C58" s="299"/>
      <c r="D58" s="299"/>
      <c r="E58" s="299"/>
      <c r="F58" s="299"/>
      <c r="G58" s="299"/>
      <c r="H58" s="299"/>
      <c r="I58" s="299"/>
      <c r="J58" s="299"/>
      <c r="K58" s="299"/>
    </row>
    <row r="59" spans="2:15" ht="12.75" customHeight="1" x14ac:dyDescent="0.2">
      <c r="B59" s="297" t="s">
        <v>140</v>
      </c>
      <c r="C59" s="297"/>
      <c r="D59" s="297"/>
      <c r="E59" s="297"/>
      <c r="F59" s="297"/>
      <c r="G59" s="297"/>
      <c r="H59" s="297"/>
      <c r="I59" s="297"/>
      <c r="J59" s="297"/>
      <c r="K59" s="297"/>
    </row>
    <row r="60" spans="2:15" ht="12.75" customHeight="1" x14ac:dyDescent="0.2">
      <c r="B60" s="297" t="s">
        <v>141</v>
      </c>
      <c r="C60" s="297"/>
      <c r="D60" s="297"/>
      <c r="E60" s="297"/>
      <c r="F60" s="297"/>
      <c r="G60" s="297"/>
      <c r="H60" s="297"/>
      <c r="I60" s="297"/>
      <c r="J60" s="297"/>
      <c r="K60" s="297"/>
    </row>
    <row r="61" spans="2:15" ht="15" x14ac:dyDescent="0.2">
      <c r="B61" s="297" t="s">
        <v>142</v>
      </c>
      <c r="C61" s="297"/>
      <c r="D61" s="297"/>
      <c r="E61" s="297"/>
      <c r="F61" s="297"/>
      <c r="G61" s="297"/>
      <c r="H61" s="297"/>
      <c r="I61" s="297"/>
      <c r="J61" s="297"/>
      <c r="K61" s="297"/>
      <c r="L61" s="3"/>
      <c r="M61" s="3"/>
      <c r="N61" s="3"/>
      <c r="O61" s="3"/>
    </row>
    <row r="62" spans="2:15" ht="15" customHeight="1" x14ac:dyDescent="0.2">
      <c r="B62" s="299" t="s">
        <v>282</v>
      </c>
      <c r="C62" s="297"/>
      <c r="D62" s="297"/>
      <c r="E62" s="297"/>
      <c r="F62" s="297"/>
      <c r="G62" s="297"/>
      <c r="H62" s="297"/>
      <c r="I62" s="297"/>
      <c r="J62" s="297"/>
      <c r="K62" s="297"/>
      <c r="L62" s="3"/>
      <c r="M62" s="3"/>
      <c r="N62" s="3"/>
      <c r="O62" s="3"/>
    </row>
    <row r="63" spans="2:15" ht="9" customHeight="1" x14ac:dyDescent="0.2">
      <c r="B63" s="304"/>
      <c r="C63" s="298"/>
      <c r="D63" s="298"/>
      <c r="E63" s="298"/>
      <c r="F63" s="298"/>
      <c r="G63" s="298"/>
      <c r="H63" s="298"/>
      <c r="I63" s="298"/>
      <c r="J63" s="298"/>
      <c r="K63" s="298"/>
      <c r="L63" s="3"/>
      <c r="M63" s="3"/>
      <c r="N63" s="3"/>
      <c r="O63" s="3"/>
    </row>
    <row r="64" spans="2:15" s="24" customFormat="1" ht="15" customHeight="1" x14ac:dyDescent="0.2">
      <c r="B64" s="305"/>
      <c r="C64" s="306"/>
      <c r="D64" s="306"/>
      <c r="E64" s="306"/>
      <c r="F64" s="306"/>
      <c r="G64" s="306"/>
      <c r="H64" s="306"/>
      <c r="I64" s="306"/>
      <c r="J64" s="306"/>
      <c r="K64" s="306"/>
      <c r="L64" s="38"/>
      <c r="M64" s="38"/>
      <c r="N64" s="38"/>
      <c r="O64" s="38"/>
    </row>
    <row r="65" spans="2:15" ht="18" x14ac:dyDescent="0.2">
      <c r="B65" s="157" t="s">
        <v>157</v>
      </c>
      <c r="C65" s="157"/>
      <c r="D65" s="157"/>
      <c r="E65" s="158"/>
      <c r="F65" s="158"/>
      <c r="G65" s="158"/>
      <c r="H65" s="158"/>
      <c r="I65" s="158"/>
      <c r="J65" s="158"/>
      <c r="K65" s="158"/>
      <c r="L65" s="3"/>
      <c r="M65" s="3"/>
      <c r="N65" s="3"/>
      <c r="O65" s="3"/>
    </row>
    <row r="66" spans="2:15" s="24" customFormat="1" ht="8.25" customHeight="1" x14ac:dyDescent="0.25">
      <c r="B66" s="35"/>
      <c r="C66" s="35"/>
      <c r="D66" s="35"/>
      <c r="E66" s="36"/>
      <c r="F66" s="36"/>
      <c r="G66" s="36"/>
      <c r="H66" s="36"/>
      <c r="I66" s="36"/>
      <c r="J66" s="36"/>
      <c r="K66" s="36"/>
      <c r="L66" s="38"/>
      <c r="M66" s="38"/>
      <c r="N66" s="38"/>
      <c r="O66" s="38"/>
    </row>
    <row r="67" spans="2:15" ht="15" x14ac:dyDescent="0.2">
      <c r="B67" s="171" t="s">
        <v>159</v>
      </c>
      <c r="C67" s="170"/>
      <c r="D67" s="170" t="s">
        <v>160</v>
      </c>
      <c r="E67" s="170"/>
      <c r="F67" s="307"/>
      <c r="G67" s="307"/>
      <c r="H67" s="170" t="s">
        <v>161</v>
      </c>
      <c r="I67" s="170"/>
      <c r="J67" s="307"/>
      <c r="K67" s="308"/>
      <c r="L67" s="3"/>
      <c r="M67" s="3"/>
      <c r="N67" s="3"/>
      <c r="O67" s="3"/>
    </row>
    <row r="68" spans="2:15" ht="15" x14ac:dyDescent="0.2">
      <c r="B68" s="168" t="s">
        <v>119</v>
      </c>
      <c r="C68" s="309"/>
      <c r="D68" s="169" t="s">
        <v>177</v>
      </c>
      <c r="E68" s="169"/>
      <c r="F68" s="169"/>
      <c r="G68" s="169"/>
      <c r="H68" s="160" t="s">
        <v>162</v>
      </c>
      <c r="I68" s="160"/>
      <c r="J68" s="160"/>
      <c r="K68" s="161"/>
      <c r="L68" s="3"/>
      <c r="M68" s="3"/>
      <c r="N68" s="3"/>
      <c r="O68" s="3"/>
    </row>
    <row r="69" spans="2:15" ht="15" customHeight="1" x14ac:dyDescent="0.2">
      <c r="B69" s="310" t="s">
        <v>123</v>
      </c>
      <c r="C69" s="311"/>
      <c r="D69" s="312" t="s">
        <v>169</v>
      </c>
      <c r="E69" s="312"/>
      <c r="F69" s="312"/>
      <c r="G69" s="312"/>
      <c r="H69" s="313" t="s">
        <v>251</v>
      </c>
      <c r="I69" s="313"/>
      <c r="J69" s="313"/>
      <c r="K69" s="314"/>
      <c r="L69" s="3"/>
      <c r="M69" s="3"/>
      <c r="N69" s="3"/>
      <c r="O69" s="3"/>
    </row>
    <row r="70" spans="2:15" ht="15" x14ac:dyDescent="0.2">
      <c r="B70" s="315" t="s">
        <v>120</v>
      </c>
      <c r="C70" s="309"/>
      <c r="D70" s="169" t="s">
        <v>252</v>
      </c>
      <c r="E70" s="169"/>
      <c r="F70" s="169"/>
      <c r="G70" s="169"/>
      <c r="H70" s="160" t="s">
        <v>163</v>
      </c>
      <c r="I70" s="160"/>
      <c r="J70" s="160"/>
      <c r="K70" s="161"/>
      <c r="L70" s="3"/>
      <c r="M70" s="3"/>
      <c r="N70" s="3"/>
      <c r="O70" s="3"/>
    </row>
    <row r="71" spans="2:15" ht="15" x14ac:dyDescent="0.2">
      <c r="B71" s="316" t="s">
        <v>124</v>
      </c>
      <c r="C71" s="309"/>
      <c r="D71" s="169" t="s">
        <v>253</v>
      </c>
      <c r="E71" s="169"/>
      <c r="F71" s="169"/>
      <c r="G71" s="169"/>
      <c r="H71" s="160" t="s">
        <v>163</v>
      </c>
      <c r="I71" s="160"/>
      <c r="J71" s="160"/>
      <c r="K71" s="161"/>
      <c r="L71" s="3"/>
      <c r="M71" s="3"/>
      <c r="N71" s="3"/>
      <c r="O71" s="3"/>
    </row>
    <row r="72" spans="2:15" ht="15" x14ac:dyDescent="0.2">
      <c r="B72" s="317" t="s">
        <v>121</v>
      </c>
      <c r="C72" s="309"/>
      <c r="D72" s="169" t="s">
        <v>117</v>
      </c>
      <c r="E72" s="169"/>
      <c r="F72" s="169"/>
      <c r="G72" s="169"/>
      <c r="H72" s="160" t="s">
        <v>164</v>
      </c>
      <c r="I72" s="160"/>
      <c r="J72" s="160"/>
      <c r="K72" s="161"/>
      <c r="L72" s="3"/>
      <c r="M72" s="3"/>
      <c r="N72" s="3"/>
      <c r="O72" s="3"/>
    </row>
    <row r="73" spans="2:15" ht="15" x14ac:dyDescent="0.2">
      <c r="B73" s="318" t="s">
        <v>122</v>
      </c>
      <c r="C73" s="319"/>
      <c r="D73" s="320" t="s">
        <v>118</v>
      </c>
      <c r="E73" s="320"/>
      <c r="F73" s="320"/>
      <c r="G73" s="320"/>
      <c r="H73" s="321" t="s">
        <v>165</v>
      </c>
      <c r="I73" s="321"/>
      <c r="J73" s="321"/>
      <c r="K73" s="322"/>
      <c r="L73" s="3"/>
      <c r="M73" s="3"/>
      <c r="N73" s="3"/>
      <c r="O73" s="3"/>
    </row>
    <row r="74" spans="2:15" ht="15" x14ac:dyDescent="0.2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</row>
    <row r="75" spans="2:15" ht="15" x14ac:dyDescent="0.2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</row>
    <row r="76" spans="2:15" ht="15" x14ac:dyDescent="0.2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</row>
    <row r="77" spans="2:15" ht="15" x14ac:dyDescent="0.2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</row>
    <row r="78" spans="2:15" ht="15" x14ac:dyDescent="0.2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</row>
    <row r="79" spans="2:15" ht="15" x14ac:dyDescent="0.2">
      <c r="L79" s="3"/>
      <c r="M79" s="3"/>
      <c r="N79" s="3"/>
      <c r="O79" s="3"/>
    </row>
    <row r="80" spans="2:15" ht="15" x14ac:dyDescent="0.2">
      <c r="L80" s="3"/>
      <c r="M80" s="3"/>
      <c r="N80" s="3"/>
      <c r="O80" s="3"/>
    </row>
    <row r="81" spans="12:15" ht="15" x14ac:dyDescent="0.2">
      <c r="L81" s="3"/>
      <c r="M81" s="3"/>
      <c r="N81" s="3"/>
      <c r="O81" s="3"/>
    </row>
    <row r="82" spans="12:15" ht="15" x14ac:dyDescent="0.2">
      <c r="L82" s="3"/>
      <c r="M82" s="3"/>
      <c r="N82" s="3"/>
      <c r="O82" s="3"/>
    </row>
    <row r="83" spans="12:15" ht="15" x14ac:dyDescent="0.2">
      <c r="L83" s="3"/>
      <c r="M83" s="3"/>
      <c r="N83" s="3"/>
      <c r="O83" s="3"/>
    </row>
    <row r="84" spans="12:15" ht="15" x14ac:dyDescent="0.2">
      <c r="L84" s="3"/>
      <c r="M84" s="3"/>
      <c r="N84" s="3"/>
      <c r="O84" s="3"/>
    </row>
    <row r="85" spans="12:15" ht="15" x14ac:dyDescent="0.2">
      <c r="L85" s="3"/>
      <c r="M85" s="3"/>
      <c r="N85" s="3"/>
      <c r="O85" s="3"/>
    </row>
    <row r="86" spans="12:15" ht="15" x14ac:dyDescent="0.2">
      <c r="L86" s="3"/>
      <c r="M86" s="3"/>
      <c r="N86" s="3"/>
      <c r="O86" s="3"/>
    </row>
    <row r="87" spans="12:15" ht="15" x14ac:dyDescent="0.2">
      <c r="L87" s="3"/>
      <c r="M87" s="3"/>
      <c r="N87" s="3"/>
      <c r="O87" s="3"/>
    </row>
    <row r="88" spans="12:15" ht="15" x14ac:dyDescent="0.2">
      <c r="L88" s="3"/>
      <c r="M88" s="3"/>
      <c r="N88" s="3"/>
      <c r="O88" s="3"/>
    </row>
    <row r="89" spans="12:15" ht="15" x14ac:dyDescent="0.2">
      <c r="L89" s="8"/>
      <c r="M89" s="3"/>
      <c r="N89" s="3"/>
      <c r="O89" s="3"/>
    </row>
    <row r="90" spans="12:15" ht="15" x14ac:dyDescent="0.2">
      <c r="L90" s="7"/>
      <c r="M90" s="3"/>
      <c r="N90" s="3"/>
      <c r="O90" s="3"/>
    </row>
    <row r="91" spans="12:15" ht="15" x14ac:dyDescent="0.2">
      <c r="L91" s="7"/>
      <c r="M91" s="3"/>
      <c r="N91" s="3"/>
      <c r="O91" s="3"/>
    </row>
    <row r="92" spans="12:15" ht="13.5" customHeight="1" x14ac:dyDescent="0.2">
      <c r="L92" s="3"/>
      <c r="M92" s="3"/>
      <c r="N92" s="3"/>
      <c r="O92" s="3"/>
    </row>
    <row r="93" spans="12:15" ht="15" x14ac:dyDescent="0.2">
      <c r="L93" s="3"/>
      <c r="M93" s="3"/>
      <c r="N93" s="3"/>
      <c r="O93" s="3"/>
    </row>
    <row r="94" spans="12:15" ht="11.25" customHeight="1" x14ac:dyDescent="0.2">
      <c r="L94" s="3"/>
      <c r="M94" s="3"/>
      <c r="N94" s="3"/>
      <c r="O94" s="3"/>
    </row>
    <row r="95" spans="12:15" ht="15" customHeight="1" x14ac:dyDescent="0.2">
      <c r="L95" s="3"/>
      <c r="M95" s="3"/>
      <c r="N95" s="3"/>
      <c r="O95" s="3"/>
    </row>
    <row r="96" spans="12:15" ht="15" customHeight="1" x14ac:dyDescent="0.2">
      <c r="L96" s="3"/>
      <c r="M96" s="3"/>
      <c r="N96" s="3"/>
      <c r="O96" s="3"/>
    </row>
    <row r="97" spans="12:15" ht="15" x14ac:dyDescent="0.2">
      <c r="L97" s="3"/>
      <c r="M97" s="3"/>
      <c r="N97" s="3"/>
      <c r="O97" s="3"/>
    </row>
    <row r="98" spans="12:15" ht="15" x14ac:dyDescent="0.2">
      <c r="L98" s="3"/>
      <c r="M98" s="3"/>
      <c r="N98" s="3"/>
      <c r="O98" s="3"/>
    </row>
    <row r="99" spans="12:15" ht="15" x14ac:dyDescent="0.2">
      <c r="L99" s="3"/>
      <c r="M99" s="3"/>
      <c r="N99" s="3"/>
      <c r="O99" s="3"/>
    </row>
    <row r="100" spans="12:15" ht="27.75" customHeight="1" x14ac:dyDescent="0.2">
      <c r="L100" s="3"/>
      <c r="M100" s="3"/>
      <c r="N100" s="3"/>
      <c r="O100" s="3"/>
    </row>
    <row r="101" spans="12:15" ht="15" x14ac:dyDescent="0.2">
      <c r="L101" s="3"/>
      <c r="M101" s="3"/>
      <c r="N101" s="3"/>
      <c r="O101" s="3"/>
    </row>
    <row r="102" spans="12:15" ht="15" x14ac:dyDescent="0.2">
      <c r="L102" s="3"/>
      <c r="M102" s="3"/>
      <c r="N102" s="3"/>
      <c r="O102" s="3"/>
    </row>
    <row r="103" spans="12:15" ht="15" x14ac:dyDescent="0.2">
      <c r="L103" s="10"/>
      <c r="M103" s="3"/>
      <c r="N103" s="3"/>
      <c r="O103" s="3"/>
    </row>
    <row r="104" spans="12:15" ht="15" x14ac:dyDescent="0.2">
      <c r="L104" s="10"/>
    </row>
    <row r="105" spans="12:15" ht="12.75" customHeight="1" x14ac:dyDescent="0.2">
      <c r="L105" s="9"/>
    </row>
    <row r="106" spans="12:15" ht="18.75" customHeight="1" x14ac:dyDescent="0.2">
      <c r="L106" s="11"/>
      <c r="M106" s="9"/>
    </row>
    <row r="107" spans="12:15" ht="12.75" customHeight="1" x14ac:dyDescent="0.2">
      <c r="L107" s="3"/>
      <c r="M107" s="8"/>
    </row>
    <row r="108" spans="12:15" ht="12.75" customHeight="1" x14ac:dyDescent="0.2">
      <c r="L108" s="3"/>
      <c r="M108" s="8"/>
    </row>
    <row r="109" spans="12:15" ht="12.75" customHeight="1" x14ac:dyDescent="0.2">
      <c r="L109" s="3"/>
      <c r="M109" s="8"/>
    </row>
    <row r="110" spans="12:15" ht="15" x14ac:dyDescent="0.2">
      <c r="L110" s="3"/>
    </row>
    <row r="111" spans="12:15" ht="15" x14ac:dyDescent="0.2">
      <c r="L111" s="3"/>
    </row>
    <row r="112" spans="12:15" ht="15" x14ac:dyDescent="0.2">
      <c r="L112" s="3"/>
    </row>
    <row r="113" spans="12:13" ht="15" x14ac:dyDescent="0.2">
      <c r="L113" s="3"/>
      <c r="M113" s="3"/>
    </row>
    <row r="114" spans="12:13" ht="15" x14ac:dyDescent="0.2">
      <c r="L114" s="3"/>
      <c r="M114" s="3"/>
    </row>
    <row r="115" spans="12:13" ht="15" x14ac:dyDescent="0.2">
      <c r="L115" s="3"/>
      <c r="M115" s="3"/>
    </row>
    <row r="116" spans="12:13" ht="15" x14ac:dyDescent="0.2">
      <c r="L116" s="3"/>
      <c r="M116" s="3"/>
    </row>
    <row r="117" spans="12:13" ht="15" x14ac:dyDescent="0.2">
      <c r="L117" s="3"/>
      <c r="M117" s="3"/>
    </row>
    <row r="118" spans="12:13" ht="15" x14ac:dyDescent="0.2">
      <c r="M118" s="3"/>
    </row>
    <row r="119" spans="12:13" ht="15" x14ac:dyDescent="0.2">
      <c r="M119" s="3"/>
    </row>
    <row r="120" spans="12:13" ht="15" x14ac:dyDescent="0.2">
      <c r="M120" s="3"/>
    </row>
    <row r="121" spans="12:13" ht="15" x14ac:dyDescent="0.2">
      <c r="M121" s="3"/>
    </row>
    <row r="122" spans="12:13" ht="15" x14ac:dyDescent="0.2">
      <c r="M122" s="3"/>
    </row>
    <row r="123" spans="12:13" ht="15" x14ac:dyDescent="0.2">
      <c r="M123" s="3"/>
    </row>
    <row r="124" spans="12:13" ht="15" x14ac:dyDescent="0.2">
      <c r="M124" s="3"/>
    </row>
    <row r="125" spans="12:13" ht="15" x14ac:dyDescent="0.2">
      <c r="M125" s="3"/>
    </row>
  </sheetData>
  <sheetProtection password="F7AF" sheet="1" objects="1" scenarios="1"/>
  <mergeCells count="68">
    <mergeCell ref="B62:K62"/>
    <mergeCell ref="D72:G72"/>
    <mergeCell ref="D71:G71"/>
    <mergeCell ref="H69:K69"/>
    <mergeCell ref="H71:K71"/>
    <mergeCell ref="H67:K67"/>
    <mergeCell ref="B67:C67"/>
    <mergeCell ref="D67:G67"/>
    <mergeCell ref="D69:G69"/>
    <mergeCell ref="D70:G70"/>
    <mergeCell ref="D73:G73"/>
    <mergeCell ref="B68:C68"/>
    <mergeCell ref="B69:C69"/>
    <mergeCell ref="B70:C70"/>
    <mergeCell ref="B71:C71"/>
    <mergeCell ref="B72:C72"/>
    <mergeCell ref="B73:C73"/>
    <mergeCell ref="D68:G68"/>
    <mergeCell ref="B6:K6"/>
    <mergeCell ref="B53:K53"/>
    <mergeCell ref="B58:K58"/>
    <mergeCell ref="B59:K59"/>
    <mergeCell ref="B60:K60"/>
    <mergeCell ref="B51:K51"/>
    <mergeCell ref="B52:K52"/>
    <mergeCell ref="B10:K10"/>
    <mergeCell ref="B15:K15"/>
    <mergeCell ref="B33:K33"/>
    <mergeCell ref="B39:K39"/>
    <mergeCell ref="B20:K20"/>
    <mergeCell ref="B12:K12"/>
    <mergeCell ref="B16:K16"/>
    <mergeCell ref="B23:K23"/>
    <mergeCell ref="B14:K14"/>
    <mergeCell ref="B61:K61"/>
    <mergeCell ref="B54:K54"/>
    <mergeCell ref="B55:K55"/>
    <mergeCell ref="B56:K56"/>
    <mergeCell ref="B57:K57"/>
    <mergeCell ref="B49:K49"/>
    <mergeCell ref="B11:K11"/>
    <mergeCell ref="B47:K47"/>
    <mergeCell ref="B48:K48"/>
    <mergeCell ref="B31:K31"/>
    <mergeCell ref="B37:K37"/>
    <mergeCell ref="B35:K35"/>
    <mergeCell ref="B43:K43"/>
    <mergeCell ref="B26:K26"/>
    <mergeCell ref="B22:K22"/>
    <mergeCell ref="B21:K21"/>
    <mergeCell ref="B19:K19"/>
    <mergeCell ref="B27:K27"/>
    <mergeCell ref="B2:S2"/>
    <mergeCell ref="H73:K73"/>
    <mergeCell ref="B65:K65"/>
    <mergeCell ref="B5:K5"/>
    <mergeCell ref="H68:K68"/>
    <mergeCell ref="H70:K70"/>
    <mergeCell ref="H72:K72"/>
    <mergeCell ref="B50:K50"/>
    <mergeCell ref="B41:K41"/>
    <mergeCell ref="B46:K46"/>
    <mergeCell ref="B7:K7"/>
    <mergeCell ref="B28:K28"/>
    <mergeCell ref="B25:K25"/>
    <mergeCell ref="B18:K18"/>
    <mergeCell ref="B17:K17"/>
    <mergeCell ref="B24:K24"/>
  </mergeCells>
  <phoneticPr fontId="0" type="noConversion"/>
  <hyperlinks>
    <hyperlink ref="B33:E33" location="MARATHON6!A1" tooltip="Cliquez sur cette zone pour aller dans le plan" display="Un plan sur 6 séances hebdomadaires;"/>
    <hyperlink ref="B37:E37" location="MARATHON4!A1" tooltip="Cliquez ici pour aller dans le plan" display="Un plan sur 4 séances hebdomadaires."/>
    <hyperlink ref="B35:E35" location="MARATHON5!A1" tooltip="Cliquez ici pour aller dans le plan" display="Un plan sur 5 séances hebdomadaires;"/>
    <hyperlink ref="B37:K37" location="'10 Km 3 ent.'!A1" tooltip="Cliquez ici pour aller dans le plan" display="Un plan sur 3 séances hebdomadaires"/>
    <hyperlink ref="B35:K35" location="'10 Km 4 ent.'!A1" tooltip="Cliquez ici pour aller dans le plan" display="Un plan sur 4 séances hebdomadaires"/>
    <hyperlink ref="B33:K33" location="'10 Km 5 ent.'!A1" tooltip="Cliquez sur cette zone pour aller dans le plan" display="Un plan sur 5 séances hebdomadaires"/>
    <hyperlink ref="B41:K41" location="VMA!A1" display="Le feuillet VMA permet de prévoir votre rythme pour les séances VMA."/>
  </hyperlinks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horizontalDpi="300" verticalDpi="300" r:id="rId1"/>
  <headerFooter alignWithMargins="0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0"/>
  </sheetPr>
  <dimension ref="A2:S34"/>
  <sheetViews>
    <sheetView showGridLines="0" workbookViewId="0">
      <selection activeCell="I17" sqref="I17"/>
    </sheetView>
  </sheetViews>
  <sheetFormatPr baseColWidth="10" defaultRowHeight="12.75" x14ac:dyDescent="0.2"/>
  <cols>
    <col min="1" max="1" width="5.7109375" customWidth="1"/>
    <col min="2" max="2" width="61.140625" customWidth="1"/>
    <col min="3" max="3" width="9" bestFit="1" customWidth="1"/>
    <col min="4" max="4" width="4.42578125" bestFit="1" customWidth="1"/>
    <col min="5" max="5" width="42" customWidth="1"/>
    <col min="6" max="6" width="9" bestFit="1" customWidth="1"/>
    <col min="7" max="7" width="8.28515625" customWidth="1"/>
    <col min="8" max="8" width="14.42578125" customWidth="1"/>
    <col min="9" max="9" width="16" customWidth="1"/>
    <col min="10" max="13" width="12.28515625" customWidth="1"/>
  </cols>
  <sheetData>
    <row r="2" spans="1:19" s="23" customFormat="1" ht="36" customHeight="1" x14ac:dyDescent="0.5">
      <c r="A2" s="293"/>
      <c r="B2" s="294" t="s">
        <v>266</v>
      </c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</row>
    <row r="3" spans="1:19" x14ac:dyDescent="0.2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</row>
    <row r="4" spans="1:19" x14ac:dyDescent="0.2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</row>
    <row r="5" spans="1:19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</row>
    <row r="6" spans="1:19" x14ac:dyDescent="0.2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</row>
    <row r="7" spans="1:19" ht="21" customHeight="1" x14ac:dyDescent="0.2">
      <c r="A7" s="12"/>
      <c r="B7" s="157" t="s">
        <v>269</v>
      </c>
      <c r="C7" s="157"/>
      <c r="D7" s="157"/>
      <c r="E7" s="158"/>
      <c r="F7" s="158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</row>
    <row r="8" spans="1:19" s="24" customFormat="1" ht="8.25" customHeight="1" x14ac:dyDescent="0.2">
      <c r="B8" s="43"/>
      <c r="C8" s="43"/>
      <c r="D8" s="43"/>
      <c r="E8" s="44"/>
      <c r="F8" s="44"/>
    </row>
    <row r="9" spans="1:19" x14ac:dyDescent="0.2">
      <c r="B9" s="174" t="s">
        <v>65</v>
      </c>
      <c r="C9" s="175"/>
      <c r="D9" s="45" t="s">
        <v>66</v>
      </c>
      <c r="E9" s="175" t="s">
        <v>268</v>
      </c>
      <c r="F9" s="176"/>
    </row>
    <row r="10" spans="1:19" x14ac:dyDescent="0.2">
      <c r="B10" s="46" t="s">
        <v>245</v>
      </c>
      <c r="C10" s="47">
        <v>2000</v>
      </c>
      <c r="D10" s="177"/>
      <c r="E10" s="48" t="s">
        <v>170</v>
      </c>
      <c r="F10" s="49">
        <v>2.5717592592592594E-2</v>
      </c>
    </row>
    <row r="11" spans="1:19" x14ac:dyDescent="0.2">
      <c r="B11" s="46" t="s">
        <v>69</v>
      </c>
      <c r="C11" s="50">
        <v>4.6296296296296302E-3</v>
      </c>
      <c r="D11" s="178"/>
      <c r="E11" s="48" t="s">
        <v>171</v>
      </c>
      <c r="F11" s="51">
        <v>39754</v>
      </c>
    </row>
    <row r="12" spans="1:19" x14ac:dyDescent="0.2">
      <c r="B12" s="52" t="s">
        <v>73</v>
      </c>
      <c r="C12" s="53" t="str">
        <f>TEXT(cat_test_3/K_test,"mm:ss")</f>
        <v>03:20</v>
      </c>
      <c r="D12" s="178"/>
      <c r="E12" s="179" t="s">
        <v>58</v>
      </c>
      <c r="F12" s="180"/>
      <c r="G12" s="2"/>
    </row>
    <row r="13" spans="1:19" x14ac:dyDescent="0.2">
      <c r="B13" s="52" t="s">
        <v>74</v>
      </c>
      <c r="C13" s="54">
        <f>(HOUR(cat_test_3)*3600+MINUTE(cat_test_3)*60+SECOND(cat_test_3))/K_test</f>
        <v>200</v>
      </c>
      <c r="D13" s="178"/>
      <c r="E13" s="55" t="str">
        <f>IF(D_test=2000,"CAT test 2000m pour objectif:","CAT test 1500m pour objectif:")</f>
        <v>CAT test 2000m pour objectif:</v>
      </c>
      <c r="F13" s="56" t="str">
        <f>TEXT(((objectif/(dist_marathon/K_test))*k_marat),"mm:ss")</f>
        <v>06:40</v>
      </c>
    </row>
    <row r="14" spans="1:19" x14ac:dyDescent="0.2">
      <c r="B14" s="52" t="s">
        <v>14</v>
      </c>
      <c r="C14" s="57">
        <f>1000/cat_sec</f>
        <v>5</v>
      </c>
      <c r="D14" s="178"/>
      <c r="E14" s="55" t="s">
        <v>59</v>
      </c>
      <c r="F14" s="56" t="str">
        <f>TEXT(((objectif/dist_marathon)*k_marat),"mm:ss")</f>
        <v>03:20</v>
      </c>
    </row>
    <row r="15" spans="1:19" x14ac:dyDescent="0.2">
      <c r="B15" s="52" t="s">
        <v>284</v>
      </c>
      <c r="C15" s="58">
        <f>1/cat_sec*3600</f>
        <v>18</v>
      </c>
      <c r="D15" s="178"/>
      <c r="E15" s="181" t="s">
        <v>283</v>
      </c>
      <c r="F15" s="182"/>
    </row>
    <row r="16" spans="1:19" x14ac:dyDescent="0.2">
      <c r="B16" s="52" t="s">
        <v>88</v>
      </c>
      <c r="C16" s="59">
        <f>cat_kmh*ind_vma</f>
        <v>63.9</v>
      </c>
      <c r="D16" s="178"/>
      <c r="E16" s="183"/>
      <c r="F16" s="182"/>
      <c r="G16" s="6"/>
    </row>
    <row r="17" spans="2:6" x14ac:dyDescent="0.2">
      <c r="B17" s="172" t="s">
        <v>11</v>
      </c>
      <c r="C17" s="173"/>
      <c r="D17" s="60">
        <v>43</v>
      </c>
      <c r="E17" s="183"/>
      <c r="F17" s="182"/>
    </row>
    <row r="18" spans="2:6" x14ac:dyDescent="0.2">
      <c r="B18" s="172" t="s">
        <v>10</v>
      </c>
      <c r="C18" s="173"/>
      <c r="D18" s="61">
        <v>184</v>
      </c>
      <c r="E18" s="183"/>
      <c r="F18" s="182"/>
    </row>
    <row r="19" spans="2:6" ht="25.5" x14ac:dyDescent="0.2">
      <c r="B19" s="46" t="s">
        <v>94</v>
      </c>
      <c r="C19" s="61">
        <v>1000</v>
      </c>
      <c r="D19" s="54">
        <f>fc_x</f>
        <v>169.9</v>
      </c>
      <c r="E19" s="72" t="s">
        <v>172</v>
      </c>
      <c r="F19" s="62" t="str">
        <f>TEXT(objectif/dist_marathon,"mm:ss")</f>
        <v>03:42</v>
      </c>
    </row>
    <row r="20" spans="2:6" x14ac:dyDescent="0.2">
      <c r="B20" s="63" t="s">
        <v>97</v>
      </c>
      <c r="C20" s="64" t="str">
        <f>TEXT(INT(C22/60),"00")&amp;":"&amp;TEXT(C22-(INT(C22/60)*60),"00")</f>
        <v>03:20</v>
      </c>
      <c r="D20" s="54">
        <f>fc_x</f>
        <v>169.9</v>
      </c>
      <c r="E20" s="65"/>
      <c r="F20" s="66"/>
    </row>
    <row r="21" spans="2:6" x14ac:dyDescent="0.2">
      <c r="B21" s="63" t="s">
        <v>81</v>
      </c>
      <c r="C21" s="57">
        <f>C19/C22*3.6</f>
        <v>18</v>
      </c>
      <c r="D21" s="54">
        <f>fc_x</f>
        <v>169.9</v>
      </c>
      <c r="E21" s="67"/>
      <c r="F21" s="68"/>
    </row>
    <row r="22" spans="2:6" x14ac:dyDescent="0.2">
      <c r="B22" s="63" t="s">
        <v>100</v>
      </c>
      <c r="C22" s="54">
        <f>dist_vma/(C14+(0.075*((1000-dist_vma)/1000)))</f>
        <v>200</v>
      </c>
      <c r="D22" s="54">
        <f>fc_x</f>
        <v>169.9</v>
      </c>
      <c r="E22" s="67"/>
      <c r="F22" s="68"/>
    </row>
    <row r="23" spans="2:6" x14ac:dyDescent="0.2">
      <c r="B23" s="63" t="s">
        <v>107</v>
      </c>
      <c r="C23" s="64">
        <f>cat_test_3/K_test/k_recup</f>
        <v>3.3068783068783076E-3</v>
      </c>
      <c r="D23" s="54">
        <f>fc_repos+(z_travail*k_vma*k_recup)</f>
        <v>129.85599999999999</v>
      </c>
      <c r="E23" s="67"/>
      <c r="F23" s="68"/>
    </row>
    <row r="24" spans="2:6" x14ac:dyDescent="0.2">
      <c r="B24" s="63" t="s">
        <v>173</v>
      </c>
      <c r="C24" s="64">
        <f>cat_test_3/K_test/k_marat</f>
        <v>2.5720164609053502E-3</v>
      </c>
      <c r="D24" s="54">
        <f>(z_travail*85%)+fc_repos</f>
        <v>162.85</v>
      </c>
      <c r="E24" s="67"/>
      <c r="F24" s="68"/>
    </row>
    <row r="25" spans="2:6" x14ac:dyDescent="0.2">
      <c r="B25" s="69" t="s">
        <v>174</v>
      </c>
      <c r="C25" s="70">
        <f>cat_test_3/K_test/k_marat*dist_marathon</f>
        <v>2.5720164609053502E-2</v>
      </c>
      <c r="D25" s="71">
        <f>(z_travail*85%)+fc_repos</f>
        <v>162.85</v>
      </c>
      <c r="E25" s="67"/>
      <c r="F25" s="68"/>
    </row>
    <row r="34" ht="19.5" customHeight="1" x14ac:dyDescent="0.2"/>
  </sheetData>
  <sheetProtection password="F7AF" sheet="1" objects="1" scenarios="1"/>
  <mergeCells count="9">
    <mergeCell ref="B2:S2"/>
    <mergeCell ref="B18:C18"/>
    <mergeCell ref="B17:C17"/>
    <mergeCell ref="B7:F7"/>
    <mergeCell ref="B9:C9"/>
    <mergeCell ref="E9:F9"/>
    <mergeCell ref="D10:D16"/>
    <mergeCell ref="E12:F12"/>
    <mergeCell ref="E15:F18"/>
  </mergeCells>
  <phoneticPr fontId="0" type="noConversion"/>
  <printOptions horizontalCentered="1" verticalCentered="1"/>
  <pageMargins left="0.78740157480314965" right="0.78740157480314965" top="0.98425196850393704" bottom="0.98425196850393704" header="0.51181102362204722" footer="0.51181102362204722"/>
  <pageSetup paperSize="9" firstPageNumber="0" orientation="landscape" horizontalDpi="300" verticalDpi="300" r:id="rId1"/>
  <headerFooter alignWithMargins="0"/>
  <drawing r:id="rId2"/>
  <legacyDrawing r:id="rId3"/>
  <picture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</sheetPr>
  <dimension ref="A1:Y36"/>
  <sheetViews>
    <sheetView showGridLines="0" zoomScale="85" zoomScaleNormal="85" workbookViewId="0">
      <selection activeCell="AA8" sqref="AA8"/>
    </sheetView>
  </sheetViews>
  <sheetFormatPr baseColWidth="10" defaultRowHeight="33.950000000000003" customHeight="1" x14ac:dyDescent="0.2"/>
  <cols>
    <col min="1" max="1" width="7.28515625" customWidth="1"/>
    <col min="2" max="2" width="6.7109375" customWidth="1"/>
    <col min="3" max="3" width="16.42578125" style="14" customWidth="1"/>
    <col min="4" max="4" width="7.7109375" customWidth="1"/>
    <col min="5" max="5" width="4" style="15" bestFit="1" customWidth="1"/>
    <col min="6" max="6" width="6.7109375" customWidth="1"/>
    <col min="7" max="7" width="16.42578125" style="14" customWidth="1"/>
    <col min="8" max="8" width="7.7109375" customWidth="1"/>
    <col min="9" max="9" width="3.7109375" style="15" bestFit="1" customWidth="1"/>
    <col min="10" max="10" width="6.7109375" customWidth="1"/>
    <col min="11" max="11" width="16.42578125" style="14" customWidth="1"/>
    <col min="12" max="12" width="7.7109375" customWidth="1"/>
    <col min="13" max="13" width="3.7109375" style="15" bestFit="1" customWidth="1"/>
    <col min="14" max="14" width="6.7109375" customWidth="1"/>
    <col min="15" max="15" width="16.42578125" style="14" customWidth="1"/>
    <col min="16" max="16" width="7.7109375" customWidth="1"/>
    <col min="17" max="17" width="3.7109375" style="15" bestFit="1" customWidth="1"/>
  </cols>
  <sheetData>
    <row r="1" spans="1:25" ht="15" customHeight="1" x14ac:dyDescent="0.2"/>
    <row r="2" spans="1:25" s="23" customFormat="1" ht="36" customHeight="1" x14ac:dyDescent="0.5">
      <c r="A2" s="293"/>
      <c r="B2" s="294" t="s">
        <v>266</v>
      </c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3"/>
      <c r="U2" s="293"/>
      <c r="V2" s="293"/>
      <c r="W2" s="293"/>
      <c r="X2" s="293"/>
      <c r="Y2" s="293"/>
    </row>
    <row r="3" spans="1:25" ht="33.950000000000003" customHeight="1" x14ac:dyDescent="0.2">
      <c r="A3" s="12"/>
      <c r="B3" s="12"/>
      <c r="C3" s="323"/>
      <c r="D3" s="12"/>
      <c r="E3" s="324"/>
      <c r="F3" s="12"/>
      <c r="G3" s="323"/>
      <c r="H3" s="12"/>
      <c r="I3" s="324"/>
      <c r="J3" s="12"/>
      <c r="K3" s="323"/>
      <c r="L3" s="12"/>
      <c r="M3" s="324"/>
      <c r="N3" s="12"/>
      <c r="O3" s="323"/>
      <c r="P3" s="12"/>
      <c r="Q3" s="324"/>
      <c r="R3" s="12"/>
      <c r="S3" s="12"/>
      <c r="T3" s="12"/>
      <c r="U3" s="12"/>
      <c r="V3" s="12"/>
      <c r="W3" s="12"/>
      <c r="X3" s="12"/>
      <c r="Y3" s="12"/>
    </row>
    <row r="4" spans="1:25" ht="27.75" customHeight="1" x14ac:dyDescent="0.2">
      <c r="A4" s="12"/>
      <c r="B4" s="157" t="s">
        <v>60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2"/>
      <c r="S4" s="12"/>
      <c r="T4" s="12"/>
      <c r="U4" s="12"/>
      <c r="V4" s="12"/>
      <c r="W4" s="12"/>
      <c r="X4" s="12"/>
      <c r="Y4" s="12"/>
    </row>
    <row r="5" spans="1:25" s="24" customFormat="1" ht="9" customHeight="1" x14ac:dyDescent="0.2">
      <c r="A5" s="296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296"/>
      <c r="S5" s="296"/>
      <c r="T5" s="296"/>
      <c r="U5" s="296"/>
      <c r="V5" s="296"/>
      <c r="W5" s="296"/>
      <c r="X5" s="296"/>
      <c r="Y5" s="296"/>
    </row>
    <row r="6" spans="1:25" ht="33.950000000000003" customHeight="1" thickBot="1" x14ac:dyDescent="0.25">
      <c r="A6" s="12"/>
      <c r="B6" s="74"/>
      <c r="C6" s="75" t="str">
        <f>"semaine du "&amp;TEXT(mdate-83,"jj/mm")&amp;" au "&amp;TEXT(mdate-77,"jj/mm")</f>
        <v>semaine du 11/08 au 17/08</v>
      </c>
      <c r="D6" s="75" t="s">
        <v>126</v>
      </c>
      <c r="E6" s="78" t="s">
        <v>56</v>
      </c>
      <c r="F6" s="74"/>
      <c r="G6" s="75" t="str">
        <f>"semaine du "&amp;TEXT(mdate-76,"jj/mm")&amp;" au "&amp;TEXT(mdate-70,"jj/mm")</f>
        <v>semaine du 18/08 au 24/08</v>
      </c>
      <c r="H6" s="76" t="s">
        <v>126</v>
      </c>
      <c r="I6" s="78" t="s">
        <v>56</v>
      </c>
      <c r="J6" s="74"/>
      <c r="K6" s="75" t="str">
        <f>"semaine du "&amp;TEXT(mdate-69,"jj/mm")&amp;" au "&amp;TEXT(mdate-63,"jj/mm")</f>
        <v>semaine du 25/08 au 31/08</v>
      </c>
      <c r="L6" s="75" t="s">
        <v>126</v>
      </c>
      <c r="M6" s="78" t="s">
        <v>56</v>
      </c>
      <c r="N6" s="74"/>
      <c r="O6" s="75" t="str">
        <f>"semaine du "&amp;TEXT(mdate-62,"jj/mm")&amp;" au "&amp;TEXT(mdate-56,"jj/mm")</f>
        <v>semaine du 01/09 au 07/09</v>
      </c>
      <c r="P6" s="75" t="s">
        <v>126</v>
      </c>
      <c r="Q6" s="77" t="s">
        <v>56</v>
      </c>
      <c r="R6" s="12"/>
      <c r="S6" s="12"/>
      <c r="T6" s="12"/>
      <c r="U6" s="12"/>
      <c r="V6" s="12"/>
      <c r="W6" s="12"/>
      <c r="X6" s="12"/>
      <c r="Y6" s="12"/>
    </row>
    <row r="7" spans="1:25" ht="33.950000000000003" customHeight="1" x14ac:dyDescent="0.2">
      <c r="A7" s="12"/>
      <c r="B7" s="325" t="s">
        <v>155</v>
      </c>
      <c r="C7" s="326" t="s">
        <v>57</v>
      </c>
      <c r="D7" s="327"/>
      <c r="E7" s="328"/>
      <c r="F7" s="325" t="s">
        <v>155</v>
      </c>
      <c r="G7" s="326" t="s">
        <v>57</v>
      </c>
      <c r="H7" s="327"/>
      <c r="I7" s="328"/>
      <c r="J7" s="325" t="s">
        <v>155</v>
      </c>
      <c r="K7" s="326" t="s">
        <v>57</v>
      </c>
      <c r="L7" s="327"/>
      <c r="M7" s="328"/>
      <c r="N7" s="325" t="s">
        <v>155</v>
      </c>
      <c r="O7" s="326" t="s">
        <v>57</v>
      </c>
      <c r="P7" s="327"/>
      <c r="Q7" s="329"/>
      <c r="R7" s="12"/>
      <c r="S7" s="12"/>
      <c r="T7" s="12"/>
      <c r="U7" s="12"/>
      <c r="V7" s="12"/>
      <c r="W7" s="12"/>
      <c r="X7" s="12"/>
      <c r="Y7" s="12"/>
    </row>
    <row r="8" spans="1:25" ht="33.950000000000003" customHeight="1" x14ac:dyDescent="0.2">
      <c r="A8" s="12"/>
      <c r="B8" s="330" t="s">
        <v>154</v>
      </c>
      <c r="C8" s="331" t="s">
        <v>125</v>
      </c>
      <c r="D8" s="332">
        <f>cat_km*133.5%</f>
        <v>0.18541666666666667</v>
      </c>
      <c r="E8" s="333">
        <f>(z_travail*75%)+fc_repos</f>
        <v>148.75</v>
      </c>
      <c r="F8" s="330" t="s">
        <v>154</v>
      </c>
      <c r="G8" s="331" t="s">
        <v>125</v>
      </c>
      <c r="H8" s="332">
        <f>cat_km*133.5%</f>
        <v>0.18541666666666667</v>
      </c>
      <c r="I8" s="333">
        <f>(z_travail*75%)+fc_repos</f>
        <v>148.75</v>
      </c>
      <c r="J8" s="330" t="s">
        <v>154</v>
      </c>
      <c r="K8" s="331" t="s">
        <v>186</v>
      </c>
      <c r="L8" s="332">
        <f>cat_km*133.5%</f>
        <v>0.18541666666666667</v>
      </c>
      <c r="M8" s="333">
        <f>(z_travail*75%)+fc_repos</f>
        <v>148.75</v>
      </c>
      <c r="N8" s="330" t="s">
        <v>154</v>
      </c>
      <c r="O8" s="331" t="s">
        <v>186</v>
      </c>
      <c r="P8" s="332">
        <f>cat_km*133.5%</f>
        <v>0.18541666666666667</v>
      </c>
      <c r="Q8" s="334">
        <f>(z_travail*75%)+fc_repos</f>
        <v>148.75</v>
      </c>
      <c r="R8" s="12"/>
      <c r="S8" s="12"/>
      <c r="T8" s="12"/>
      <c r="U8" s="12"/>
      <c r="V8" s="12"/>
      <c r="W8" s="12"/>
      <c r="X8" s="12"/>
      <c r="Y8" s="12"/>
    </row>
    <row r="9" spans="1:25" ht="33.950000000000003" customHeight="1" x14ac:dyDescent="0.2">
      <c r="A9" s="12"/>
      <c r="B9" s="330" t="s">
        <v>149</v>
      </c>
      <c r="C9" s="335" t="s">
        <v>158</v>
      </c>
      <c r="D9" s="332" t="str">
        <f>al_marathon</f>
        <v>03:42</v>
      </c>
      <c r="E9" s="333">
        <f>Puls</f>
        <v>162.85</v>
      </c>
      <c r="F9" s="330" t="s">
        <v>149</v>
      </c>
      <c r="G9" s="336" t="s">
        <v>181</v>
      </c>
      <c r="H9" s="337">
        <f>cat_vitesse*30</f>
        <v>150</v>
      </c>
      <c r="I9" s="333">
        <f>fc_x</f>
        <v>169.9</v>
      </c>
      <c r="J9" s="330" t="s">
        <v>149</v>
      </c>
      <c r="K9" s="338" t="s">
        <v>239</v>
      </c>
      <c r="L9" s="332">
        <f>((cat_km*95%)/1000)*300</f>
        <v>3.9583333333333338E-2</v>
      </c>
      <c r="M9" s="333">
        <f>fc_300</f>
        <v>179.77</v>
      </c>
      <c r="N9" s="330" t="s">
        <v>149</v>
      </c>
      <c r="O9" s="336" t="s">
        <v>182</v>
      </c>
      <c r="P9" s="337">
        <f>cat_vitesse*20</f>
        <v>100</v>
      </c>
      <c r="Q9" s="334">
        <f>fc_x</f>
        <v>169.9</v>
      </c>
      <c r="R9" s="12"/>
      <c r="S9" s="12"/>
      <c r="T9" s="12"/>
      <c r="U9" s="12"/>
      <c r="V9" s="12"/>
      <c r="W9" s="12"/>
      <c r="X9" s="12"/>
      <c r="Y9" s="12"/>
    </row>
    <row r="10" spans="1:25" ht="33.950000000000003" customHeight="1" x14ac:dyDescent="0.2">
      <c r="A10" s="12"/>
      <c r="B10" s="330" t="s">
        <v>153</v>
      </c>
      <c r="C10" s="331" t="s">
        <v>125</v>
      </c>
      <c r="D10" s="332">
        <f>cat_km*133.5%</f>
        <v>0.18541666666666667</v>
      </c>
      <c r="E10" s="333">
        <f>(z_travail*75%)+fc_repos</f>
        <v>148.75</v>
      </c>
      <c r="F10" s="330" t="s">
        <v>153</v>
      </c>
      <c r="G10" s="331" t="s">
        <v>234</v>
      </c>
      <c r="H10" s="332">
        <f>cat_km*133.5%</f>
        <v>0.18541666666666667</v>
      </c>
      <c r="I10" s="333">
        <f>(z_travail*75%)+fc_repos</f>
        <v>148.75</v>
      </c>
      <c r="J10" s="330" t="s">
        <v>153</v>
      </c>
      <c r="K10" s="331" t="s">
        <v>186</v>
      </c>
      <c r="L10" s="332">
        <f>cat_km*133.5%</f>
        <v>0.18541666666666667</v>
      </c>
      <c r="M10" s="333">
        <f>(z_travail*75%)+fc_repos</f>
        <v>148.75</v>
      </c>
      <c r="N10" s="330" t="s">
        <v>153</v>
      </c>
      <c r="O10" s="331" t="s">
        <v>186</v>
      </c>
      <c r="P10" s="332">
        <f>cat_km*133.5%</f>
        <v>0.18541666666666667</v>
      </c>
      <c r="Q10" s="334">
        <f>(z_travail*75%)+fc_repos</f>
        <v>148.75</v>
      </c>
      <c r="R10" s="12"/>
      <c r="S10" s="12"/>
      <c r="T10" s="12"/>
      <c r="U10" s="339"/>
      <c r="V10" s="12"/>
      <c r="W10" s="12"/>
      <c r="X10" s="12"/>
      <c r="Y10" s="12"/>
    </row>
    <row r="11" spans="1:25" ht="33.950000000000003" customHeight="1" x14ac:dyDescent="0.2">
      <c r="A11" s="12"/>
      <c r="B11" s="330" t="s">
        <v>150</v>
      </c>
      <c r="C11" s="340" t="s">
        <v>57</v>
      </c>
      <c r="D11" s="341"/>
      <c r="E11" s="333"/>
      <c r="F11" s="330" t="s">
        <v>150</v>
      </c>
      <c r="G11" s="340" t="s">
        <v>57</v>
      </c>
      <c r="H11" s="341"/>
      <c r="I11" s="333"/>
      <c r="J11" s="330" t="s">
        <v>150</v>
      </c>
      <c r="K11" s="340" t="s">
        <v>57</v>
      </c>
      <c r="L11" s="341"/>
      <c r="M11" s="333"/>
      <c r="N11" s="330" t="s">
        <v>150</v>
      </c>
      <c r="O11" s="340" t="s">
        <v>57</v>
      </c>
      <c r="P11" s="341"/>
      <c r="Q11" s="334"/>
      <c r="R11" s="12"/>
      <c r="S11" s="339"/>
      <c r="T11" s="12"/>
      <c r="U11" s="12"/>
      <c r="V11" s="12"/>
      <c r="W11" s="12"/>
      <c r="X11" s="12"/>
      <c r="Y11" s="12"/>
    </row>
    <row r="12" spans="1:25" ht="33.950000000000003" customHeight="1" x14ac:dyDescent="0.2">
      <c r="A12" s="12"/>
      <c r="B12" s="330" t="s">
        <v>151</v>
      </c>
      <c r="C12" s="338" t="s">
        <v>240</v>
      </c>
      <c r="D12" s="332">
        <f>((cat_km*83%)/1000)*150</f>
        <v>1.7291666666666667E-2</v>
      </c>
      <c r="E12" s="333">
        <f>fc_150</f>
        <v>181.88499999999999</v>
      </c>
      <c r="F12" s="330" t="s">
        <v>151</v>
      </c>
      <c r="G12" s="342" t="s">
        <v>223</v>
      </c>
      <c r="H12" s="341" t="str">
        <f>al_marathon</f>
        <v>03:42</v>
      </c>
      <c r="I12" s="333">
        <f>Puls</f>
        <v>162.85</v>
      </c>
      <c r="J12" s="330" t="s">
        <v>151</v>
      </c>
      <c r="K12" s="342" t="s">
        <v>224</v>
      </c>
      <c r="L12" s="341" t="str">
        <f>al_marathon</f>
        <v>03:42</v>
      </c>
      <c r="M12" s="333">
        <f>Puls</f>
        <v>162.85</v>
      </c>
      <c r="N12" s="330" t="s">
        <v>151</v>
      </c>
      <c r="O12" s="342" t="s">
        <v>225</v>
      </c>
      <c r="P12" s="341" t="str">
        <f>al_marathon</f>
        <v>03:42</v>
      </c>
      <c r="Q12" s="334">
        <f>Puls</f>
        <v>162.85</v>
      </c>
      <c r="R12" s="12"/>
      <c r="S12" s="12"/>
      <c r="T12" s="12"/>
      <c r="U12" s="12"/>
      <c r="V12" s="12"/>
      <c r="W12" s="12"/>
      <c r="X12" s="12"/>
      <c r="Y12" s="12"/>
    </row>
    <row r="13" spans="1:25" ht="33.950000000000003" customHeight="1" x14ac:dyDescent="0.2">
      <c r="A13" s="12"/>
      <c r="B13" s="343" t="s">
        <v>152</v>
      </c>
      <c r="C13" s="344" t="s">
        <v>192</v>
      </c>
      <c r="D13" s="345">
        <f>cat_km*143%</f>
        <v>0.1986111111111111</v>
      </c>
      <c r="E13" s="346">
        <f>(z_travail*70%)+fc_repos</f>
        <v>141.69999999999999</v>
      </c>
      <c r="F13" s="343" t="s">
        <v>152</v>
      </c>
      <c r="G13" s="344" t="s">
        <v>193</v>
      </c>
      <c r="H13" s="345">
        <f>cat_km*143%</f>
        <v>0.1986111111111111</v>
      </c>
      <c r="I13" s="346">
        <f>(z_travail*70%)+fc_repos</f>
        <v>141.69999999999999</v>
      </c>
      <c r="J13" s="343" t="s">
        <v>152</v>
      </c>
      <c r="K13" s="344" t="s">
        <v>232</v>
      </c>
      <c r="L13" s="345">
        <f>cat_km*143%</f>
        <v>0.1986111111111111</v>
      </c>
      <c r="M13" s="346">
        <f>(z_travail*70%)+fc_repos</f>
        <v>141.69999999999999</v>
      </c>
      <c r="N13" s="343" t="s">
        <v>152</v>
      </c>
      <c r="O13" s="344" t="s">
        <v>233</v>
      </c>
      <c r="P13" s="345">
        <f>cat_km*143%</f>
        <v>0.1986111111111111</v>
      </c>
      <c r="Q13" s="347">
        <f>(z_travail*70%)+fc_repos</f>
        <v>141.69999999999999</v>
      </c>
      <c r="R13" s="12"/>
      <c r="S13" s="12"/>
      <c r="T13" s="12"/>
      <c r="U13" s="12"/>
      <c r="V13" s="12"/>
      <c r="W13" s="12"/>
      <c r="X13" s="12"/>
      <c r="Y13" s="12"/>
    </row>
    <row r="14" spans="1:25" ht="27.75" customHeight="1" x14ac:dyDescent="0.2">
      <c r="A14" s="12"/>
      <c r="B14" s="12"/>
      <c r="C14" s="323"/>
      <c r="D14" s="12"/>
      <c r="E14" s="324"/>
      <c r="F14" s="12"/>
      <c r="G14" s="323"/>
      <c r="H14" s="12"/>
      <c r="I14" s="324"/>
      <c r="J14" s="12"/>
      <c r="K14" s="323"/>
      <c r="L14" s="12"/>
      <c r="M14" s="324"/>
      <c r="N14" s="12"/>
      <c r="O14" s="323"/>
      <c r="P14" s="12"/>
      <c r="Q14" s="324"/>
      <c r="R14" s="12"/>
      <c r="S14" s="12"/>
      <c r="T14" s="12"/>
      <c r="U14" s="12"/>
      <c r="V14" s="12"/>
      <c r="W14" s="12"/>
      <c r="X14" s="12"/>
      <c r="Y14" s="12"/>
    </row>
    <row r="15" spans="1:25" ht="28.5" customHeight="1" x14ac:dyDescent="0.2">
      <c r="A15" s="12"/>
      <c r="B15" s="157" t="s">
        <v>61</v>
      </c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2"/>
      <c r="S15" s="12"/>
      <c r="T15" s="12"/>
      <c r="U15" s="12"/>
      <c r="V15" s="12"/>
      <c r="W15" s="12"/>
      <c r="X15" s="12"/>
      <c r="Y15" s="12"/>
    </row>
    <row r="16" spans="1:25" s="24" customFormat="1" ht="8.25" customHeight="1" x14ac:dyDescent="0.2">
      <c r="A16" s="296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296"/>
      <c r="S16" s="296"/>
      <c r="T16" s="296"/>
      <c r="U16" s="296"/>
      <c r="V16" s="296"/>
      <c r="W16" s="296"/>
      <c r="X16" s="296"/>
      <c r="Y16" s="296"/>
    </row>
    <row r="17" spans="1:25" ht="33.950000000000003" customHeight="1" thickBot="1" x14ac:dyDescent="0.25">
      <c r="A17" s="12"/>
      <c r="B17" s="74"/>
      <c r="C17" s="75" t="str">
        <f>"semaine du "&amp;TEXT(mdate-55,"jj/mm")&amp;" au "&amp;TEXT(mdate-49,"jj/mm")</f>
        <v>semaine du 08/09 au 14/09</v>
      </c>
      <c r="D17" s="76" t="s">
        <v>126</v>
      </c>
      <c r="E17" s="78" t="s">
        <v>56</v>
      </c>
      <c r="F17" s="74"/>
      <c r="G17" s="75" t="str">
        <f>"semaine du "&amp;TEXT(mdate-48,"jj/mm")&amp;" au "&amp;TEXT(mdate-42,"jj/mm")</f>
        <v>semaine du 15/09 au 21/09</v>
      </c>
      <c r="H17" s="76" t="s">
        <v>126</v>
      </c>
      <c r="I17" s="78" t="s">
        <v>56</v>
      </c>
      <c r="J17" s="74"/>
      <c r="K17" s="75" t="str">
        <f>"semaine du "&amp;TEXT(mdate-41,"jj/mm")&amp;" au "&amp;TEXT(mdate-35,"jj/mm")</f>
        <v>semaine du 22/09 au 28/09</v>
      </c>
      <c r="L17" s="79" t="s">
        <v>126</v>
      </c>
      <c r="M17" s="78" t="s">
        <v>56</v>
      </c>
      <c r="N17" s="74"/>
      <c r="O17" s="75" t="str">
        <f>"semaine du "&amp;TEXT(mdate-34,"jj/mm")&amp;" au "&amp;TEXT(mdate-28,"jj/mm")</f>
        <v>semaine du 29/09 au 05/10</v>
      </c>
      <c r="P17" s="79" t="s">
        <v>126</v>
      </c>
      <c r="Q17" s="77" t="s">
        <v>56</v>
      </c>
      <c r="R17" s="12"/>
      <c r="S17" s="12"/>
      <c r="T17" s="12"/>
      <c r="U17" s="12"/>
      <c r="V17" s="12"/>
      <c r="W17" s="12"/>
      <c r="X17" s="12"/>
      <c r="Y17" s="12"/>
    </row>
    <row r="18" spans="1:25" ht="33.950000000000003" customHeight="1" x14ac:dyDescent="0.2">
      <c r="A18" s="12"/>
      <c r="B18" s="325" t="s">
        <v>155</v>
      </c>
      <c r="C18" s="326" t="s">
        <v>57</v>
      </c>
      <c r="D18" s="327"/>
      <c r="E18" s="328"/>
      <c r="F18" s="325" t="s">
        <v>155</v>
      </c>
      <c r="G18" s="326" t="s">
        <v>57</v>
      </c>
      <c r="H18" s="327"/>
      <c r="I18" s="328"/>
      <c r="J18" s="325" t="s">
        <v>155</v>
      </c>
      <c r="K18" s="326" t="s">
        <v>57</v>
      </c>
      <c r="L18" s="327"/>
      <c r="M18" s="328"/>
      <c r="N18" s="325" t="s">
        <v>155</v>
      </c>
      <c r="O18" s="326" t="s">
        <v>57</v>
      </c>
      <c r="P18" s="327"/>
      <c r="Q18" s="329"/>
      <c r="R18" s="12"/>
      <c r="S18" s="12"/>
      <c r="T18" s="12"/>
      <c r="U18" s="12"/>
      <c r="V18" s="12"/>
      <c r="W18" s="12"/>
      <c r="X18" s="12"/>
      <c r="Y18" s="12"/>
    </row>
    <row r="19" spans="1:25" ht="33.950000000000003" customHeight="1" x14ac:dyDescent="0.2">
      <c r="A19" s="12"/>
      <c r="B19" s="330" t="s">
        <v>154</v>
      </c>
      <c r="C19" s="331" t="s">
        <v>186</v>
      </c>
      <c r="D19" s="332">
        <f>cat_km*133.5%</f>
        <v>0.18541666666666667</v>
      </c>
      <c r="E19" s="333">
        <f>(z_travail*75%)+fc_repos</f>
        <v>148.75</v>
      </c>
      <c r="F19" s="330" t="s">
        <v>154</v>
      </c>
      <c r="G19" s="331" t="s">
        <v>17</v>
      </c>
      <c r="H19" s="332">
        <f>cat_km*133.5%</f>
        <v>0.18541666666666667</v>
      </c>
      <c r="I19" s="333">
        <f>(z_travail*75%)+fc_repos</f>
        <v>148.75</v>
      </c>
      <c r="J19" s="330" t="s">
        <v>154</v>
      </c>
      <c r="K19" s="338" t="s">
        <v>236</v>
      </c>
      <c r="L19" s="332">
        <f>((cat_km)/1000)*500</f>
        <v>6.9444444444444448E-2</v>
      </c>
      <c r="M19" s="333">
        <f>fc_500</f>
        <v>176.95</v>
      </c>
      <c r="N19" s="330" t="s">
        <v>154</v>
      </c>
      <c r="O19" s="331" t="s">
        <v>17</v>
      </c>
      <c r="P19" s="332">
        <f>cat_km*133.5%</f>
        <v>0.18541666666666667</v>
      </c>
      <c r="Q19" s="334">
        <f>(z_travail*75%)+fc_repos</f>
        <v>148.75</v>
      </c>
      <c r="R19" s="12"/>
      <c r="S19" s="12"/>
      <c r="T19" s="12"/>
      <c r="U19" s="12"/>
      <c r="V19" s="12"/>
      <c r="W19" s="12"/>
      <c r="X19" s="12"/>
      <c r="Y19" s="12"/>
    </row>
    <row r="20" spans="1:25" ht="33.950000000000003" customHeight="1" x14ac:dyDescent="0.2">
      <c r="A20" s="12"/>
      <c r="B20" s="330" t="s">
        <v>149</v>
      </c>
      <c r="C20" s="342" t="s">
        <v>213</v>
      </c>
      <c r="D20" s="341" t="str">
        <f>al_marathon</f>
        <v>03:42</v>
      </c>
      <c r="E20" s="333">
        <f>Puls</f>
        <v>162.85</v>
      </c>
      <c r="F20" s="330" t="s">
        <v>149</v>
      </c>
      <c r="G20" s="338" t="s">
        <v>237</v>
      </c>
      <c r="H20" s="332">
        <f>((cat_km*83%)/1000)*200</f>
        <v>2.3055555555555555E-2</v>
      </c>
      <c r="I20" s="333">
        <f>fc_200</f>
        <v>181.18</v>
      </c>
      <c r="J20" s="330" t="s">
        <v>149</v>
      </c>
      <c r="K20" s="331" t="s">
        <v>186</v>
      </c>
      <c r="L20" s="332">
        <f>cat_km*133.5%</f>
        <v>0.18541666666666667</v>
      </c>
      <c r="M20" s="333">
        <f>(z_travail*75%)+fc_repos</f>
        <v>148.75</v>
      </c>
      <c r="N20" s="330" t="s">
        <v>149</v>
      </c>
      <c r="O20" s="336" t="s">
        <v>195</v>
      </c>
      <c r="P20" s="337">
        <f>cat_vitesse*20</f>
        <v>100</v>
      </c>
      <c r="Q20" s="334">
        <f>fc_x</f>
        <v>169.9</v>
      </c>
      <c r="R20" s="12"/>
      <c r="S20" s="12"/>
      <c r="T20" s="12"/>
      <c r="U20" s="12"/>
      <c r="V20" s="12"/>
      <c r="W20" s="12"/>
      <c r="X20" s="12"/>
      <c r="Y20" s="12"/>
    </row>
    <row r="21" spans="1:25" ht="33.950000000000003" customHeight="1" x14ac:dyDescent="0.2">
      <c r="A21" s="12"/>
      <c r="B21" s="330" t="s">
        <v>153</v>
      </c>
      <c r="C21" s="331" t="s">
        <v>17</v>
      </c>
      <c r="D21" s="332">
        <f>cat_km*133.5%</f>
        <v>0.18541666666666667</v>
      </c>
      <c r="E21" s="333">
        <f>(z_travail*75%)+fc_repos</f>
        <v>148.75</v>
      </c>
      <c r="F21" s="330" t="s">
        <v>153</v>
      </c>
      <c r="G21" s="331" t="s">
        <v>17</v>
      </c>
      <c r="H21" s="332">
        <f>cat_km*133.5%</f>
        <v>0.18541666666666667</v>
      </c>
      <c r="I21" s="333">
        <f>(z_travail*75%)+fc_repos</f>
        <v>148.75</v>
      </c>
      <c r="J21" s="330" t="s">
        <v>153</v>
      </c>
      <c r="K21" s="348" t="s">
        <v>231</v>
      </c>
      <c r="L21" s="332">
        <f>(cat_km)*143%</f>
        <v>0.1986111111111111</v>
      </c>
      <c r="M21" s="333">
        <f>(z_travail*70%)+fc_repos</f>
        <v>141.69999999999999</v>
      </c>
      <c r="N21" s="330" t="s">
        <v>153</v>
      </c>
      <c r="O21" s="331" t="s">
        <v>17</v>
      </c>
      <c r="P21" s="332">
        <f>cat_km*133.5%</f>
        <v>0.18541666666666667</v>
      </c>
      <c r="Q21" s="334">
        <f>(z_travail*75%)+fc_repos</f>
        <v>148.75</v>
      </c>
      <c r="R21" s="12"/>
      <c r="S21" s="12"/>
      <c r="T21" s="12"/>
      <c r="U21" s="12"/>
      <c r="V21" s="12"/>
      <c r="W21" s="12"/>
      <c r="X21" s="12"/>
      <c r="Y21" s="12"/>
    </row>
    <row r="22" spans="1:25" ht="33.950000000000003" customHeight="1" x14ac:dyDescent="0.2">
      <c r="A22" s="12"/>
      <c r="B22" s="330" t="s">
        <v>150</v>
      </c>
      <c r="C22" s="340" t="s">
        <v>57</v>
      </c>
      <c r="D22" s="341"/>
      <c r="E22" s="333"/>
      <c r="F22" s="330" t="s">
        <v>150</v>
      </c>
      <c r="G22" s="340" t="s">
        <v>57</v>
      </c>
      <c r="H22" s="341"/>
      <c r="I22" s="333"/>
      <c r="J22" s="330" t="s">
        <v>150</v>
      </c>
      <c r="K22" s="340" t="s">
        <v>57</v>
      </c>
      <c r="L22" s="341"/>
      <c r="M22" s="333"/>
      <c r="N22" s="330" t="s">
        <v>150</v>
      </c>
      <c r="O22" s="340" t="s">
        <v>57</v>
      </c>
      <c r="P22" s="341"/>
      <c r="Q22" s="334"/>
      <c r="R22" s="12"/>
      <c r="S22" s="12"/>
      <c r="T22" s="12"/>
      <c r="U22" s="12"/>
      <c r="V22" s="12"/>
      <c r="W22" s="12"/>
      <c r="X22" s="12"/>
      <c r="Y22" s="12"/>
    </row>
    <row r="23" spans="1:25" ht="33.950000000000003" customHeight="1" x14ac:dyDescent="0.2">
      <c r="A23" s="12"/>
      <c r="B23" s="330" t="s">
        <v>151</v>
      </c>
      <c r="C23" s="342" t="s">
        <v>206</v>
      </c>
      <c r="D23" s="341" t="str">
        <f>al_marathon</f>
        <v>03:42</v>
      </c>
      <c r="E23" s="333">
        <f>Puls</f>
        <v>162.85</v>
      </c>
      <c r="F23" s="330" t="s">
        <v>151</v>
      </c>
      <c r="G23" s="342" t="s">
        <v>211</v>
      </c>
      <c r="H23" s="341" t="str">
        <f>al_marathon</f>
        <v>03:42</v>
      </c>
      <c r="I23" s="333">
        <f>Puls</f>
        <v>162.85</v>
      </c>
      <c r="J23" s="330" t="s">
        <v>151</v>
      </c>
      <c r="K23" s="349" t="s">
        <v>188</v>
      </c>
      <c r="L23" s="332">
        <f>(cat_km)*143%</f>
        <v>0.1986111111111111</v>
      </c>
      <c r="M23" s="333">
        <f>(z_travail*70%)+fc_repos</f>
        <v>141.69999999999999</v>
      </c>
      <c r="N23" s="330" t="s">
        <v>151</v>
      </c>
      <c r="O23" s="342" t="s">
        <v>212</v>
      </c>
      <c r="P23" s="341" t="str">
        <f>al_marathon</f>
        <v>03:42</v>
      </c>
      <c r="Q23" s="334">
        <f>Puls</f>
        <v>162.85</v>
      </c>
      <c r="R23" s="12"/>
      <c r="S23" s="12"/>
      <c r="T23" s="12"/>
      <c r="U23" s="12"/>
      <c r="V23" s="12"/>
      <c r="W23" s="12"/>
      <c r="X23" s="12"/>
      <c r="Y23" s="12"/>
    </row>
    <row r="24" spans="1:25" ht="33.950000000000003" customHeight="1" x14ac:dyDescent="0.2">
      <c r="A24" s="12"/>
      <c r="B24" s="343" t="s">
        <v>152</v>
      </c>
      <c r="C24" s="344" t="s">
        <v>230</v>
      </c>
      <c r="D24" s="345">
        <f>cat_km*143%</f>
        <v>0.1986111111111111</v>
      </c>
      <c r="E24" s="346">
        <f>(z_travail*70%)+fc_repos</f>
        <v>141.69999999999999</v>
      </c>
      <c r="F24" s="343" t="s">
        <v>152</v>
      </c>
      <c r="G24" s="344" t="s">
        <v>229</v>
      </c>
      <c r="H24" s="345">
        <f>cat_km*143%</f>
        <v>0.1986111111111111</v>
      </c>
      <c r="I24" s="346">
        <f>(z_travail*70%)+fc_repos</f>
        <v>141.69999999999999</v>
      </c>
      <c r="J24" s="343" t="s">
        <v>152</v>
      </c>
      <c r="K24" s="350" t="s">
        <v>176</v>
      </c>
      <c r="L24" s="351" t="str">
        <f>al_marathon</f>
        <v>03:42</v>
      </c>
      <c r="M24" s="352">
        <f>Puls</f>
        <v>162.85</v>
      </c>
      <c r="N24" s="343" t="s">
        <v>152</v>
      </c>
      <c r="O24" s="344" t="s">
        <v>226</v>
      </c>
      <c r="P24" s="345">
        <f>cat_km*143%</f>
        <v>0.1986111111111111</v>
      </c>
      <c r="Q24" s="347">
        <f>(z_travail*70%)+fc_repos</f>
        <v>141.69999999999999</v>
      </c>
      <c r="R24" s="12"/>
      <c r="S24" s="12"/>
      <c r="T24" s="12"/>
      <c r="U24" s="12"/>
      <c r="V24" s="12"/>
      <c r="W24" s="12"/>
      <c r="X24" s="12"/>
      <c r="Y24" s="12"/>
    </row>
    <row r="25" spans="1:25" ht="27" customHeight="1" x14ac:dyDescent="0.2">
      <c r="A25" s="12"/>
      <c r="B25" s="12"/>
      <c r="C25" s="323"/>
      <c r="D25" s="12"/>
      <c r="E25" s="324"/>
      <c r="F25" s="12"/>
      <c r="G25" s="323"/>
      <c r="H25" s="12"/>
      <c r="I25" s="324"/>
      <c r="J25" s="12"/>
      <c r="K25" s="323"/>
      <c r="L25" s="12"/>
      <c r="M25" s="324"/>
      <c r="N25" s="12"/>
      <c r="O25" s="323"/>
      <c r="P25" s="12"/>
      <c r="Q25" s="324"/>
      <c r="R25" s="12"/>
      <c r="S25" s="12"/>
      <c r="T25" s="12"/>
      <c r="U25" s="12"/>
      <c r="V25" s="12"/>
      <c r="W25" s="12"/>
      <c r="X25" s="12"/>
      <c r="Y25" s="12"/>
    </row>
    <row r="26" spans="1:25" ht="25.5" customHeight="1" x14ac:dyDescent="0.2">
      <c r="A26" s="12"/>
      <c r="B26" s="157" t="s">
        <v>156</v>
      </c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2"/>
      <c r="S26" s="12"/>
      <c r="T26" s="12"/>
      <c r="U26" s="12"/>
      <c r="V26" s="12"/>
      <c r="W26" s="12"/>
      <c r="X26" s="12"/>
      <c r="Y26" s="12"/>
    </row>
    <row r="27" spans="1:25" s="24" customFormat="1" ht="10.5" customHeight="1" x14ac:dyDescent="0.2">
      <c r="A27" s="296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296"/>
      <c r="S27" s="296"/>
      <c r="T27" s="296"/>
      <c r="U27" s="296"/>
      <c r="V27" s="296"/>
      <c r="W27" s="296"/>
      <c r="X27" s="296"/>
      <c r="Y27" s="296"/>
    </row>
    <row r="28" spans="1:25" ht="33.950000000000003" customHeight="1" thickBot="1" x14ac:dyDescent="0.25">
      <c r="A28" s="12"/>
      <c r="B28" s="74"/>
      <c r="C28" s="75" t="str">
        <f>"semaine du "&amp;TEXT(mdate-27,"jj/mm")&amp;" au "&amp;TEXT(mdate-21,"jj/mm")</f>
        <v>semaine du 06/10 au 12/10</v>
      </c>
      <c r="D28" s="76" t="s">
        <v>126</v>
      </c>
      <c r="E28" s="78" t="s">
        <v>56</v>
      </c>
      <c r="F28" s="74"/>
      <c r="G28" s="75" t="str">
        <f>"semaine du "&amp;TEXT(mdate-20,"jj/mm")&amp;" au "&amp;TEXT(mdate-14,"jj/mm")</f>
        <v>semaine du 13/10 au 19/10</v>
      </c>
      <c r="H28" s="76" t="s">
        <v>126</v>
      </c>
      <c r="I28" s="78" t="s">
        <v>56</v>
      </c>
      <c r="J28" s="74"/>
      <c r="K28" s="75" t="str">
        <f>"semaine du "&amp;TEXT(mdate-13,"jj/mm")&amp;" au "&amp;TEXT(mdate-7,"jj/mm")</f>
        <v>semaine du 20/10 au 26/10</v>
      </c>
      <c r="L28" s="79" t="s">
        <v>126</v>
      </c>
      <c r="M28" s="78" t="s">
        <v>56</v>
      </c>
      <c r="N28" s="74"/>
      <c r="O28" s="75" t="str">
        <f>"semaine du "&amp;TEXT(mdate-6,"jj/mm")&amp;" au "&amp;TEXT(mdate,"jj/mm")</f>
        <v>semaine du 27/10 au 02/11</v>
      </c>
      <c r="P28" s="79" t="s">
        <v>126</v>
      </c>
      <c r="Q28" s="77" t="s">
        <v>56</v>
      </c>
      <c r="R28" s="12"/>
      <c r="S28" s="12"/>
      <c r="T28" s="12"/>
      <c r="U28" s="12"/>
      <c r="V28" s="12"/>
      <c r="W28" s="12"/>
      <c r="X28" s="12"/>
      <c r="Y28" s="12"/>
    </row>
    <row r="29" spans="1:25" ht="33.950000000000003" customHeight="1" x14ac:dyDescent="0.2">
      <c r="A29" s="12"/>
      <c r="B29" s="325" t="s">
        <v>155</v>
      </c>
      <c r="C29" s="326" t="s">
        <v>57</v>
      </c>
      <c r="D29" s="327"/>
      <c r="E29" s="328"/>
      <c r="F29" s="325" t="s">
        <v>155</v>
      </c>
      <c r="G29" s="326" t="s">
        <v>57</v>
      </c>
      <c r="H29" s="327"/>
      <c r="I29" s="328"/>
      <c r="J29" s="325" t="s">
        <v>155</v>
      </c>
      <c r="K29" s="326" t="s">
        <v>57</v>
      </c>
      <c r="L29" s="327"/>
      <c r="M29" s="328"/>
      <c r="N29" s="325" t="s">
        <v>155</v>
      </c>
      <c r="O29" s="326" t="s">
        <v>57</v>
      </c>
      <c r="P29" s="327"/>
      <c r="Q29" s="329"/>
      <c r="R29" s="12"/>
      <c r="S29" s="12"/>
      <c r="T29" s="12"/>
      <c r="U29" s="12"/>
      <c r="V29" s="12"/>
      <c r="W29" s="12"/>
      <c r="X29" s="12"/>
      <c r="Y29" s="12"/>
    </row>
    <row r="30" spans="1:25" ht="33.950000000000003" customHeight="1" x14ac:dyDescent="0.2">
      <c r="A30" s="12"/>
      <c r="B30" s="330" t="s">
        <v>154</v>
      </c>
      <c r="C30" s="348" t="s">
        <v>228</v>
      </c>
      <c r="D30" s="332">
        <f>(cat_km)*143%</f>
        <v>0.1986111111111111</v>
      </c>
      <c r="E30" s="333">
        <f>(z_travail*70%)+fc_repos</f>
        <v>141.69999999999999</v>
      </c>
      <c r="F30" s="330" t="s">
        <v>154</v>
      </c>
      <c r="G30" s="331" t="s">
        <v>17</v>
      </c>
      <c r="H30" s="332">
        <f>cat_km*133.5%</f>
        <v>0.18541666666666667</v>
      </c>
      <c r="I30" s="333">
        <f>(z_travail*75%)+fc_repos</f>
        <v>148.75</v>
      </c>
      <c r="J30" s="330" t="s">
        <v>154</v>
      </c>
      <c r="K30" s="342" t="s">
        <v>241</v>
      </c>
      <c r="L30" s="341" t="str">
        <f>al_marathon</f>
        <v>03:42</v>
      </c>
      <c r="M30" s="333">
        <f>Puls</f>
        <v>162.85</v>
      </c>
      <c r="N30" s="330" t="s">
        <v>154</v>
      </c>
      <c r="O30" s="348" t="s">
        <v>228</v>
      </c>
      <c r="P30" s="332">
        <f>(cat_km)*143%</f>
        <v>0.1986111111111111</v>
      </c>
      <c r="Q30" s="334">
        <f>(z_travail*70%)+fc_repos</f>
        <v>141.69999999999999</v>
      </c>
      <c r="R30" s="12"/>
      <c r="S30" s="12"/>
      <c r="T30" s="12"/>
      <c r="U30" s="12"/>
      <c r="V30" s="12"/>
      <c r="W30" s="12"/>
      <c r="X30" s="12"/>
      <c r="Y30" s="12"/>
    </row>
    <row r="31" spans="1:25" ht="33.950000000000003" customHeight="1" x14ac:dyDescent="0.2">
      <c r="A31" s="12"/>
      <c r="B31" s="330" t="s">
        <v>149</v>
      </c>
      <c r="C31" s="342" t="s">
        <v>209</v>
      </c>
      <c r="D31" s="341" t="str">
        <f>al_marathon</f>
        <v>03:42</v>
      </c>
      <c r="E31" s="333">
        <f>Puls</f>
        <v>162.85</v>
      </c>
      <c r="F31" s="330" t="s">
        <v>149</v>
      </c>
      <c r="G31" s="338" t="s">
        <v>235</v>
      </c>
      <c r="H31" s="332">
        <f>((cat_km*105%))</f>
        <v>0.14583333333333334</v>
      </c>
      <c r="I31" s="333">
        <f>fc_1000</f>
        <v>169.9</v>
      </c>
      <c r="J31" s="330" t="s">
        <v>149</v>
      </c>
      <c r="K31" s="336" t="s">
        <v>178</v>
      </c>
      <c r="L31" s="337">
        <f>cat_vitesse*60</f>
        <v>300</v>
      </c>
      <c r="M31" s="333">
        <f>fc_x</f>
        <v>169.9</v>
      </c>
      <c r="N31" s="330" t="s">
        <v>149</v>
      </c>
      <c r="O31" s="338" t="s">
        <v>238</v>
      </c>
      <c r="P31" s="332">
        <f>((cat_km*97%)/1000)*400</f>
        <v>5.3888888888888889E-2</v>
      </c>
      <c r="Q31" s="334">
        <f>fc_400</f>
        <v>178.35999999999999</v>
      </c>
      <c r="R31" s="12"/>
      <c r="S31" s="12"/>
      <c r="T31" s="12"/>
      <c r="U31" s="12"/>
      <c r="V31" s="12"/>
      <c r="W31" s="12"/>
      <c r="X31" s="12"/>
      <c r="Y31" s="12"/>
    </row>
    <row r="32" spans="1:25" ht="33.950000000000003" customHeight="1" x14ac:dyDescent="0.2">
      <c r="A32" s="12"/>
      <c r="B32" s="330" t="s">
        <v>153</v>
      </c>
      <c r="C32" s="331" t="s">
        <v>17</v>
      </c>
      <c r="D32" s="332">
        <f>cat_km*133.5%</f>
        <v>0.18541666666666667</v>
      </c>
      <c r="E32" s="333">
        <f>(z_travail*75%)+fc_repos</f>
        <v>148.75</v>
      </c>
      <c r="F32" s="330" t="s">
        <v>153</v>
      </c>
      <c r="G32" s="331" t="s">
        <v>17</v>
      </c>
      <c r="H32" s="332">
        <f>cat_km*133.5%</f>
        <v>0.18541666666666667</v>
      </c>
      <c r="I32" s="333">
        <f>(z_travail*75%)+fc_repos</f>
        <v>148.75</v>
      </c>
      <c r="J32" s="330" t="s">
        <v>153</v>
      </c>
      <c r="K32" s="331" t="s">
        <v>17</v>
      </c>
      <c r="L32" s="332">
        <f>cat_km*133.5%</f>
        <v>0.18541666666666667</v>
      </c>
      <c r="M32" s="333">
        <f>(z_travail*75%)+fc_repos</f>
        <v>148.75</v>
      </c>
      <c r="N32" s="330" t="s">
        <v>153</v>
      </c>
      <c r="O32" s="331" t="s">
        <v>186</v>
      </c>
      <c r="P32" s="332">
        <f>cat_km*133.5%</f>
        <v>0.18541666666666667</v>
      </c>
      <c r="Q32" s="334">
        <f>(z_travail*75%)+fc_repos</f>
        <v>148.75</v>
      </c>
      <c r="R32" s="12"/>
      <c r="S32" s="12"/>
      <c r="T32" s="12"/>
      <c r="U32" s="12"/>
      <c r="V32" s="12"/>
      <c r="W32" s="12"/>
      <c r="X32" s="12"/>
      <c r="Y32" s="12"/>
    </row>
    <row r="33" spans="1:25" ht="33.950000000000003" customHeight="1" x14ac:dyDescent="0.2">
      <c r="A33" s="12"/>
      <c r="B33" s="330" t="s">
        <v>150</v>
      </c>
      <c r="C33" s="340" t="s">
        <v>57</v>
      </c>
      <c r="D33" s="341"/>
      <c r="E33" s="333"/>
      <c r="F33" s="330" t="s">
        <v>150</v>
      </c>
      <c r="G33" s="340" t="s">
        <v>57</v>
      </c>
      <c r="H33" s="341"/>
      <c r="I33" s="333"/>
      <c r="J33" s="330" t="s">
        <v>150</v>
      </c>
      <c r="K33" s="340" t="s">
        <v>57</v>
      </c>
      <c r="L33" s="341"/>
      <c r="M33" s="333"/>
      <c r="N33" s="330" t="s">
        <v>150</v>
      </c>
      <c r="O33" s="340" t="s">
        <v>57</v>
      </c>
      <c r="P33" s="341"/>
      <c r="Q33" s="334"/>
      <c r="R33" s="12"/>
      <c r="S33" s="12"/>
      <c r="T33" s="12"/>
      <c r="U33" s="12"/>
      <c r="V33" s="12"/>
      <c r="W33" s="12"/>
      <c r="X33" s="12"/>
      <c r="Y33" s="12"/>
    </row>
    <row r="34" spans="1:25" ht="33.950000000000003" customHeight="1" x14ac:dyDescent="0.2">
      <c r="A34" s="12"/>
      <c r="B34" s="330" t="s">
        <v>151</v>
      </c>
      <c r="C34" s="349" t="s">
        <v>188</v>
      </c>
      <c r="D34" s="332">
        <f>(cat_km)*143%</f>
        <v>0.1986111111111111</v>
      </c>
      <c r="E34" s="333">
        <f>(z_travail*70%)+fc_repos</f>
        <v>141.69999999999999</v>
      </c>
      <c r="F34" s="330" t="s">
        <v>151</v>
      </c>
      <c r="G34" s="342" t="s">
        <v>208</v>
      </c>
      <c r="H34" s="341" t="str">
        <f>al_marathon</f>
        <v>03:42</v>
      </c>
      <c r="I34" s="333">
        <f>Puls</f>
        <v>162.85</v>
      </c>
      <c r="J34" s="330" t="s">
        <v>151</v>
      </c>
      <c r="K34" s="342" t="s">
        <v>207</v>
      </c>
      <c r="L34" s="341" t="str">
        <f>al_marathon</f>
        <v>03:42</v>
      </c>
      <c r="M34" s="333">
        <f>Puls</f>
        <v>162.85</v>
      </c>
      <c r="N34" s="330" t="s">
        <v>151</v>
      </c>
      <c r="O34" s="349" t="s">
        <v>188</v>
      </c>
      <c r="P34" s="332">
        <f>(cat_km)*143%</f>
        <v>0.1986111111111111</v>
      </c>
      <c r="Q34" s="334">
        <f>(z_travail*70%)+fc_repos</f>
        <v>141.69999999999999</v>
      </c>
      <c r="R34" s="12"/>
      <c r="S34" s="12"/>
      <c r="T34" s="12"/>
      <c r="U34" s="12"/>
      <c r="V34" s="12"/>
      <c r="W34" s="12"/>
      <c r="X34" s="12"/>
      <c r="Y34" s="12"/>
    </row>
    <row r="35" spans="1:25" ht="33.950000000000003" customHeight="1" x14ac:dyDescent="0.2">
      <c r="A35" s="12"/>
      <c r="B35" s="343" t="s">
        <v>152</v>
      </c>
      <c r="C35" s="350" t="s">
        <v>189</v>
      </c>
      <c r="D35" s="351" t="str">
        <f>al_marathon</f>
        <v>03:42</v>
      </c>
      <c r="E35" s="352">
        <f>Puls</f>
        <v>162.85</v>
      </c>
      <c r="F35" s="343" t="s">
        <v>152</v>
      </c>
      <c r="G35" s="344" t="s">
        <v>226</v>
      </c>
      <c r="H35" s="345">
        <f>cat_km*143%</f>
        <v>0.1986111111111111</v>
      </c>
      <c r="I35" s="346">
        <f>(z_travail*70%)+fc_repos</f>
        <v>141.69999999999999</v>
      </c>
      <c r="J35" s="343" t="s">
        <v>152</v>
      </c>
      <c r="K35" s="344" t="s">
        <v>227</v>
      </c>
      <c r="L35" s="345">
        <f>cat_km*143%</f>
        <v>0.1986111111111111</v>
      </c>
      <c r="M35" s="346">
        <f>(z_travail*70%)+fc_repos</f>
        <v>141.69999999999999</v>
      </c>
      <c r="N35" s="343" t="s">
        <v>152</v>
      </c>
      <c r="O35" s="353" t="s">
        <v>175</v>
      </c>
      <c r="P35" s="351">
        <f>objectif</f>
        <v>2.5717592592592594E-2</v>
      </c>
      <c r="Q35" s="354">
        <f>Puls</f>
        <v>162.85</v>
      </c>
      <c r="R35" s="12"/>
      <c r="S35" s="12"/>
      <c r="T35" s="12"/>
      <c r="U35" s="12"/>
      <c r="V35" s="12"/>
      <c r="W35" s="12"/>
      <c r="X35" s="12"/>
      <c r="Y35" s="12"/>
    </row>
    <row r="36" spans="1:25" ht="33.950000000000003" customHeight="1" x14ac:dyDescent="0.2">
      <c r="A36" s="12"/>
      <c r="B36" s="12"/>
      <c r="C36" s="323"/>
      <c r="D36" s="12"/>
      <c r="E36" s="324"/>
      <c r="F36" s="12"/>
      <c r="G36" s="323"/>
      <c r="H36" s="12"/>
      <c r="I36" s="324"/>
      <c r="J36" s="12"/>
      <c r="K36" s="323"/>
      <c r="L36" s="12"/>
      <c r="M36" s="324"/>
      <c r="N36" s="12"/>
      <c r="O36" s="323"/>
      <c r="P36" s="12"/>
      <c r="Q36" s="324"/>
      <c r="R36" s="12"/>
      <c r="S36" s="12"/>
      <c r="T36" s="12"/>
      <c r="U36" s="12"/>
      <c r="V36" s="12"/>
      <c r="W36" s="12"/>
      <c r="X36" s="12"/>
      <c r="Y36" s="12"/>
    </row>
  </sheetData>
  <sheetProtection password="F7AF" sheet="1" objects="1" scenarios="1"/>
  <mergeCells count="4">
    <mergeCell ref="B2:S2"/>
    <mergeCell ref="B26:Q26"/>
    <mergeCell ref="B15:Q15"/>
    <mergeCell ref="B4:Q4"/>
  </mergeCells>
  <phoneticPr fontId="0" type="noConversion"/>
  <printOptions horizontalCentered="1" verticalCentered="1"/>
  <pageMargins left="0.19685039370078741" right="0.19685039370078741" top="0.59055118110236227" bottom="0.59055118110236227" header="0.51181102362204722" footer="0.51181102362204722"/>
  <pageSetup paperSize="9" firstPageNumber="0" orientation="landscape" horizontalDpi="300" verticalDpi="300" r:id="rId1"/>
  <headerFooter alignWithMargins="0"/>
  <ignoredErrors>
    <ignoredError sqref="P20 P9" formula="1"/>
  </ignoredErrors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2"/>
  </sheetPr>
  <dimension ref="B1:Z35"/>
  <sheetViews>
    <sheetView showGridLines="0" zoomScale="85" zoomScaleNormal="85" workbookViewId="0">
      <selection activeCell="AA3" sqref="AA3"/>
    </sheetView>
  </sheetViews>
  <sheetFormatPr baseColWidth="10" defaultRowHeight="33.950000000000003" customHeight="1" x14ac:dyDescent="0.2"/>
  <cols>
    <col min="1" max="1" width="7.28515625" customWidth="1"/>
    <col min="2" max="2" width="6.7109375" customWidth="1"/>
    <col min="3" max="3" width="16.42578125" style="14" customWidth="1"/>
    <col min="4" max="4" width="7.7109375" customWidth="1"/>
    <col min="5" max="5" width="3.7109375" style="15" bestFit="1" customWidth="1"/>
    <col min="6" max="6" width="6.7109375" customWidth="1"/>
    <col min="7" max="7" width="16.42578125" style="14" customWidth="1"/>
    <col min="8" max="8" width="7.7109375" customWidth="1"/>
    <col min="9" max="9" width="3.7109375" style="15" bestFit="1" customWidth="1"/>
    <col min="10" max="10" width="6.7109375" customWidth="1"/>
    <col min="11" max="11" width="16.42578125" style="14" customWidth="1"/>
    <col min="12" max="12" width="7.7109375" customWidth="1"/>
    <col min="13" max="13" width="3.7109375" style="15" bestFit="1" customWidth="1"/>
    <col min="14" max="14" width="6.7109375" customWidth="1"/>
    <col min="15" max="15" width="16.42578125" style="14" customWidth="1"/>
    <col min="16" max="16" width="7.7109375" customWidth="1"/>
    <col min="17" max="17" width="3.7109375" style="15" bestFit="1" customWidth="1"/>
  </cols>
  <sheetData>
    <row r="1" spans="2:26" ht="19.5" customHeight="1" x14ac:dyDescent="0.2"/>
    <row r="2" spans="2:26" s="23" customFormat="1" ht="36" customHeight="1" x14ac:dyDescent="0.5">
      <c r="B2" s="294" t="s">
        <v>266</v>
      </c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3"/>
      <c r="V2" s="293"/>
      <c r="W2" s="293"/>
      <c r="X2" s="293"/>
      <c r="Y2" s="293"/>
      <c r="Z2" s="293"/>
    </row>
    <row r="3" spans="2:26" ht="33.950000000000003" customHeight="1" x14ac:dyDescent="0.2">
      <c r="B3" s="12"/>
      <c r="C3" s="323"/>
      <c r="D3" s="12"/>
      <c r="E3" s="324"/>
      <c r="F3" s="12"/>
      <c r="G3" s="323"/>
      <c r="H3" s="12"/>
      <c r="I3" s="324"/>
      <c r="J3" s="12"/>
      <c r="K3" s="323"/>
      <c r="L3" s="12"/>
      <c r="M3" s="324"/>
      <c r="N3" s="12"/>
      <c r="O3" s="323"/>
      <c r="P3" s="12"/>
      <c r="Q3" s="324"/>
      <c r="R3" s="12"/>
      <c r="S3" s="12"/>
      <c r="T3" s="12"/>
      <c r="U3" s="12"/>
      <c r="V3" s="12"/>
      <c r="W3" s="12"/>
      <c r="X3" s="12"/>
      <c r="Y3" s="12"/>
      <c r="Z3" s="12"/>
    </row>
    <row r="4" spans="2:26" ht="25.5" customHeight="1" x14ac:dyDescent="0.2">
      <c r="B4" s="157" t="s">
        <v>60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2"/>
      <c r="S4" s="12"/>
      <c r="T4" s="12"/>
      <c r="U4" s="12"/>
      <c r="V4" s="12"/>
      <c r="W4" s="12"/>
      <c r="X4" s="12"/>
      <c r="Y4" s="12"/>
      <c r="Z4" s="12"/>
    </row>
    <row r="5" spans="2:26" s="24" customFormat="1" ht="12.75" customHeight="1" x14ac:dyDescent="0.2"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296"/>
      <c r="S5" s="296"/>
      <c r="T5" s="296"/>
      <c r="U5" s="296"/>
      <c r="V5" s="296"/>
      <c r="W5" s="296"/>
      <c r="X5" s="296"/>
      <c r="Y5" s="296"/>
      <c r="Z5" s="296"/>
    </row>
    <row r="6" spans="2:26" ht="33.950000000000003" customHeight="1" thickBot="1" x14ac:dyDescent="0.25">
      <c r="B6" s="80"/>
      <c r="C6" s="81" t="str">
        <f>"semaine du "&amp;TEXT(mdate-83,"jj/mm")&amp;" au "&amp;TEXT(mdate-77,"jj/mm")</f>
        <v>semaine du 11/08 au 17/08</v>
      </c>
      <c r="D6" s="81" t="s">
        <v>126</v>
      </c>
      <c r="E6" s="84" t="s">
        <v>56</v>
      </c>
      <c r="F6" s="80"/>
      <c r="G6" s="81" t="str">
        <f>"semaine du "&amp;TEXT(mdate-76,"jj/mm")&amp;" au "&amp;TEXT(mdate-70,"jj/mm")</f>
        <v>semaine du 18/08 au 24/08</v>
      </c>
      <c r="H6" s="82" t="s">
        <v>126</v>
      </c>
      <c r="I6" s="84" t="s">
        <v>56</v>
      </c>
      <c r="J6" s="80"/>
      <c r="K6" s="81" t="str">
        <f>"semaine du "&amp;TEXT(mdate-69,"jj/mm")&amp;" au "&amp;TEXT(mdate-63,"jj/mm")</f>
        <v>semaine du 25/08 au 31/08</v>
      </c>
      <c r="L6" s="81" t="s">
        <v>126</v>
      </c>
      <c r="M6" s="84" t="s">
        <v>56</v>
      </c>
      <c r="N6" s="80"/>
      <c r="O6" s="81" t="str">
        <f>"semaine du "&amp;TEXT(mdate-62,"jj/mm")&amp;" au "&amp;TEXT(mdate-56,"jj/mm")</f>
        <v>semaine du 01/09 au 07/09</v>
      </c>
      <c r="P6" s="81" t="s">
        <v>126</v>
      </c>
      <c r="Q6" s="83" t="s">
        <v>56</v>
      </c>
      <c r="R6" s="12"/>
      <c r="S6" s="12"/>
      <c r="T6" s="12"/>
      <c r="U6" s="12"/>
      <c r="V6" s="12"/>
      <c r="W6" s="12"/>
      <c r="X6" s="12"/>
      <c r="Y6" s="12"/>
      <c r="Z6" s="12"/>
    </row>
    <row r="7" spans="2:26" ht="33.950000000000003" customHeight="1" x14ac:dyDescent="0.2">
      <c r="B7" s="355" t="s">
        <v>155</v>
      </c>
      <c r="C7" s="356" t="s">
        <v>57</v>
      </c>
      <c r="D7" s="357"/>
      <c r="E7" s="358"/>
      <c r="F7" s="355" t="s">
        <v>155</v>
      </c>
      <c r="G7" s="356" t="s">
        <v>57</v>
      </c>
      <c r="H7" s="357"/>
      <c r="I7" s="358"/>
      <c r="J7" s="355" t="s">
        <v>155</v>
      </c>
      <c r="K7" s="356" t="s">
        <v>57</v>
      </c>
      <c r="L7" s="357"/>
      <c r="M7" s="358"/>
      <c r="N7" s="355" t="s">
        <v>155</v>
      </c>
      <c r="O7" s="356" t="s">
        <v>57</v>
      </c>
      <c r="P7" s="357"/>
      <c r="Q7" s="359"/>
      <c r="R7" s="12"/>
      <c r="S7" s="12"/>
      <c r="T7" s="12"/>
      <c r="U7" s="12"/>
      <c r="V7" s="12"/>
      <c r="W7" s="12"/>
      <c r="X7" s="12"/>
      <c r="Y7" s="12"/>
      <c r="Z7" s="12"/>
    </row>
    <row r="8" spans="2:26" ht="33.950000000000003" customHeight="1" x14ac:dyDescent="0.2">
      <c r="B8" s="360" t="s">
        <v>154</v>
      </c>
      <c r="C8" s="361" t="s">
        <v>125</v>
      </c>
      <c r="D8" s="362">
        <f>cat_km*133.5%</f>
        <v>0.18541666666666667</v>
      </c>
      <c r="E8" s="363">
        <f>(z_travail*75%)+fc_repos</f>
        <v>148.75</v>
      </c>
      <c r="F8" s="360" t="s">
        <v>154</v>
      </c>
      <c r="G8" s="364" t="s">
        <v>181</v>
      </c>
      <c r="H8" s="365">
        <f>cat_vitesse*30</f>
        <v>150</v>
      </c>
      <c r="I8" s="363">
        <f>fc_x</f>
        <v>169.9</v>
      </c>
      <c r="J8" s="360" t="s">
        <v>154</v>
      </c>
      <c r="K8" s="366" t="s">
        <v>201</v>
      </c>
      <c r="L8" s="362">
        <f>((cat_km*95%)/1000)*300</f>
        <v>3.9583333333333338E-2</v>
      </c>
      <c r="M8" s="363">
        <f>fc_300</f>
        <v>179.77</v>
      </c>
      <c r="N8" s="360" t="s">
        <v>154</v>
      </c>
      <c r="O8" s="364" t="s">
        <v>182</v>
      </c>
      <c r="P8" s="365">
        <f>cat_vitesse*20</f>
        <v>100</v>
      </c>
      <c r="Q8" s="367">
        <f>fc_x</f>
        <v>169.9</v>
      </c>
      <c r="R8" s="12"/>
      <c r="S8" s="12"/>
      <c r="T8" s="12"/>
      <c r="U8" s="12"/>
      <c r="V8" s="12"/>
      <c r="W8" s="12"/>
      <c r="X8" s="12"/>
      <c r="Y8" s="12"/>
      <c r="Z8" s="12"/>
    </row>
    <row r="9" spans="2:26" ht="33.950000000000003" customHeight="1" x14ac:dyDescent="0.2">
      <c r="B9" s="360" t="s">
        <v>149</v>
      </c>
      <c r="C9" s="368" t="s">
        <v>57</v>
      </c>
      <c r="D9" s="365"/>
      <c r="E9" s="363"/>
      <c r="F9" s="360" t="s">
        <v>149</v>
      </c>
      <c r="G9" s="368" t="s">
        <v>57</v>
      </c>
      <c r="H9" s="369"/>
      <c r="I9" s="363"/>
      <c r="J9" s="360" t="s">
        <v>149</v>
      </c>
      <c r="K9" s="368" t="s">
        <v>57</v>
      </c>
      <c r="L9" s="365"/>
      <c r="M9" s="363"/>
      <c r="N9" s="360" t="s">
        <v>149</v>
      </c>
      <c r="O9" s="368" t="s">
        <v>57</v>
      </c>
      <c r="P9" s="369"/>
      <c r="Q9" s="367"/>
      <c r="R9" s="12"/>
      <c r="S9" s="12"/>
      <c r="T9" s="12"/>
      <c r="U9" s="12"/>
      <c r="V9" s="12"/>
      <c r="W9" s="12"/>
      <c r="X9" s="12"/>
      <c r="Y9" s="12"/>
      <c r="Z9" s="12"/>
    </row>
    <row r="10" spans="2:26" ht="33.950000000000003" customHeight="1" x14ac:dyDescent="0.2">
      <c r="B10" s="360" t="s">
        <v>153</v>
      </c>
      <c r="C10" s="361" t="s">
        <v>125</v>
      </c>
      <c r="D10" s="362">
        <f>cat_km*133.5%</f>
        <v>0.18541666666666667</v>
      </c>
      <c r="E10" s="363">
        <f>(z_travail*75%)+fc_repos</f>
        <v>148.75</v>
      </c>
      <c r="F10" s="360" t="s">
        <v>153</v>
      </c>
      <c r="G10" s="361" t="s">
        <v>125</v>
      </c>
      <c r="H10" s="362">
        <f>cat_km*133.5%</f>
        <v>0.18541666666666667</v>
      </c>
      <c r="I10" s="363">
        <f>(z_travail*75%)+fc_repos</f>
        <v>148.75</v>
      </c>
      <c r="J10" s="360" t="s">
        <v>153</v>
      </c>
      <c r="K10" s="361" t="s">
        <v>186</v>
      </c>
      <c r="L10" s="362">
        <f>cat_km*133.5%</f>
        <v>0.18541666666666667</v>
      </c>
      <c r="M10" s="363">
        <f>(z_travail*75%)+fc_repos</f>
        <v>148.75</v>
      </c>
      <c r="N10" s="360" t="s">
        <v>153</v>
      </c>
      <c r="O10" s="361" t="s">
        <v>186</v>
      </c>
      <c r="P10" s="362">
        <f>cat_km*133.5%</f>
        <v>0.18541666666666667</v>
      </c>
      <c r="Q10" s="367">
        <f>(z_travail*75%)+fc_repos</f>
        <v>148.75</v>
      </c>
      <c r="R10" s="12"/>
      <c r="S10" s="12"/>
      <c r="T10" s="12"/>
      <c r="U10" s="12"/>
      <c r="V10" s="12"/>
      <c r="W10" s="12"/>
      <c r="X10" s="12"/>
      <c r="Y10" s="12"/>
      <c r="Z10" s="12"/>
    </row>
    <row r="11" spans="2:26" ht="33.950000000000003" customHeight="1" x14ac:dyDescent="0.2">
      <c r="B11" s="360" t="s">
        <v>150</v>
      </c>
      <c r="C11" s="368" t="s">
        <v>57</v>
      </c>
      <c r="D11" s="369"/>
      <c r="E11" s="363"/>
      <c r="F11" s="360" t="s">
        <v>150</v>
      </c>
      <c r="G11" s="368" t="s">
        <v>57</v>
      </c>
      <c r="H11" s="369"/>
      <c r="I11" s="363"/>
      <c r="J11" s="360" t="s">
        <v>150</v>
      </c>
      <c r="K11" s="368" t="s">
        <v>57</v>
      </c>
      <c r="L11" s="369"/>
      <c r="M11" s="363"/>
      <c r="N11" s="360" t="s">
        <v>150</v>
      </c>
      <c r="O11" s="368" t="s">
        <v>57</v>
      </c>
      <c r="P11" s="369"/>
      <c r="Q11" s="367"/>
      <c r="R11" s="12"/>
      <c r="S11" s="12"/>
      <c r="T11" s="12"/>
      <c r="U11" s="12"/>
      <c r="V11" s="12"/>
      <c r="W11" s="12"/>
      <c r="X11" s="12"/>
      <c r="Y11" s="12"/>
      <c r="Z11" s="12"/>
    </row>
    <row r="12" spans="2:26" ht="33.950000000000003" customHeight="1" x14ac:dyDescent="0.2">
      <c r="B12" s="360" t="s">
        <v>151</v>
      </c>
      <c r="C12" s="366" t="s">
        <v>202</v>
      </c>
      <c r="D12" s="362">
        <f>((cat_km*83%)/1000)*150</f>
        <v>1.7291666666666667E-2</v>
      </c>
      <c r="E12" s="363">
        <f>fc_150</f>
        <v>181.88499999999999</v>
      </c>
      <c r="F12" s="360" t="s">
        <v>151</v>
      </c>
      <c r="G12" s="370" t="s">
        <v>223</v>
      </c>
      <c r="H12" s="369" t="str">
        <f>al_marathon</f>
        <v>03:42</v>
      </c>
      <c r="I12" s="363">
        <f>Puls</f>
        <v>162.85</v>
      </c>
      <c r="J12" s="360" t="s">
        <v>151</v>
      </c>
      <c r="K12" s="370" t="s">
        <v>224</v>
      </c>
      <c r="L12" s="369" t="str">
        <f>al_marathon</f>
        <v>03:42</v>
      </c>
      <c r="M12" s="363">
        <f>Puls</f>
        <v>162.85</v>
      </c>
      <c r="N12" s="360" t="s">
        <v>151</v>
      </c>
      <c r="O12" s="370" t="s">
        <v>225</v>
      </c>
      <c r="P12" s="369" t="str">
        <f>al_marathon</f>
        <v>03:42</v>
      </c>
      <c r="Q12" s="367">
        <f>Puls</f>
        <v>162.85</v>
      </c>
      <c r="R12" s="12"/>
      <c r="S12" s="12"/>
      <c r="T12" s="12"/>
      <c r="U12" s="12"/>
      <c r="V12" s="12"/>
      <c r="W12" s="12"/>
      <c r="X12" s="12"/>
      <c r="Y12" s="12"/>
      <c r="Z12" s="12"/>
    </row>
    <row r="13" spans="2:26" ht="33.950000000000003" customHeight="1" x14ac:dyDescent="0.2">
      <c r="B13" s="371" t="s">
        <v>152</v>
      </c>
      <c r="C13" s="372" t="s">
        <v>191</v>
      </c>
      <c r="D13" s="373">
        <f>cat_km*143%</f>
        <v>0.1986111111111111</v>
      </c>
      <c r="E13" s="374">
        <f>(z_travail*70%)+fc_repos</f>
        <v>141.69999999999999</v>
      </c>
      <c r="F13" s="371" t="s">
        <v>152</v>
      </c>
      <c r="G13" s="372" t="s">
        <v>192</v>
      </c>
      <c r="H13" s="373">
        <f>cat_km*143%</f>
        <v>0.1986111111111111</v>
      </c>
      <c r="I13" s="374">
        <f>(z_travail*70%)+fc_repos</f>
        <v>141.69999999999999</v>
      </c>
      <c r="J13" s="371" t="s">
        <v>152</v>
      </c>
      <c r="K13" s="372" t="s">
        <v>193</v>
      </c>
      <c r="L13" s="373">
        <f>cat_km*143%</f>
        <v>0.1986111111111111</v>
      </c>
      <c r="M13" s="374">
        <f>(z_travail*70%)+fc_repos</f>
        <v>141.69999999999999</v>
      </c>
      <c r="N13" s="371" t="s">
        <v>152</v>
      </c>
      <c r="O13" s="372" t="s">
        <v>194</v>
      </c>
      <c r="P13" s="373">
        <f>cat_km*143%</f>
        <v>0.1986111111111111</v>
      </c>
      <c r="Q13" s="375">
        <f>(z_travail*70%)+fc_repos</f>
        <v>141.69999999999999</v>
      </c>
      <c r="R13" s="12"/>
      <c r="S13" s="12"/>
      <c r="T13" s="12"/>
      <c r="U13" s="12"/>
      <c r="V13" s="12"/>
      <c r="W13" s="12"/>
      <c r="X13" s="12"/>
      <c r="Y13" s="12"/>
      <c r="Z13" s="12"/>
    </row>
    <row r="14" spans="2:26" ht="33.950000000000003" customHeight="1" x14ac:dyDescent="0.2">
      <c r="B14" s="12"/>
      <c r="C14" s="323"/>
      <c r="D14" s="12"/>
      <c r="E14" s="324"/>
      <c r="F14" s="12"/>
      <c r="G14" s="323"/>
      <c r="H14" s="12"/>
      <c r="I14" s="324"/>
      <c r="J14" s="12"/>
      <c r="K14" s="323"/>
      <c r="L14" s="12"/>
      <c r="M14" s="324"/>
      <c r="N14" s="12"/>
      <c r="O14" s="323"/>
      <c r="P14" s="12"/>
      <c r="Q14" s="324"/>
      <c r="R14" s="12"/>
      <c r="S14" s="12"/>
      <c r="T14" s="12"/>
      <c r="U14" s="12"/>
      <c r="V14" s="12"/>
      <c r="W14" s="12"/>
      <c r="X14" s="12"/>
      <c r="Y14" s="12"/>
      <c r="Z14" s="12"/>
    </row>
    <row r="15" spans="2:26" ht="26.25" customHeight="1" x14ac:dyDescent="0.2">
      <c r="B15" s="157" t="s">
        <v>61</v>
      </c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2"/>
      <c r="S15" s="12"/>
      <c r="T15" s="12"/>
      <c r="U15" s="12"/>
      <c r="V15" s="12"/>
      <c r="W15" s="12"/>
      <c r="X15" s="12"/>
      <c r="Y15" s="12"/>
      <c r="Z15" s="12"/>
    </row>
    <row r="16" spans="2:26" s="24" customFormat="1" ht="10.5" customHeight="1" x14ac:dyDescent="0.2"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296"/>
      <c r="S16" s="296"/>
      <c r="T16" s="296"/>
      <c r="U16" s="296"/>
      <c r="V16" s="296"/>
      <c r="W16" s="296"/>
      <c r="X16" s="296"/>
      <c r="Y16" s="296"/>
      <c r="Z16" s="296"/>
    </row>
    <row r="17" spans="2:26" ht="33.950000000000003" customHeight="1" thickBot="1" x14ac:dyDescent="0.25">
      <c r="B17" s="80"/>
      <c r="C17" s="81" t="str">
        <f>"semaine du "&amp;TEXT(mdate-55,"jj/mm")&amp;" au "&amp;TEXT(mdate-49,"jj/mm")</f>
        <v>semaine du 08/09 au 14/09</v>
      </c>
      <c r="D17" s="82"/>
      <c r="E17" s="84"/>
      <c r="F17" s="80"/>
      <c r="G17" s="81" t="str">
        <f>"semaine du "&amp;TEXT(mdate-48,"jj/mm")&amp;" au "&amp;TEXT(mdate-42,"jj/mm")</f>
        <v>semaine du 15/09 au 21/09</v>
      </c>
      <c r="H17" s="82"/>
      <c r="I17" s="84"/>
      <c r="J17" s="80"/>
      <c r="K17" s="81" t="str">
        <f>"semaine du "&amp;TEXT(mdate-41,"jj/mm")&amp;" au "&amp;TEXT(mdate-35,"jj/mm")</f>
        <v>semaine du 22/09 au 28/09</v>
      </c>
      <c r="L17" s="85"/>
      <c r="M17" s="84"/>
      <c r="N17" s="80"/>
      <c r="O17" s="81" t="str">
        <f>"semaine du "&amp;TEXT(mdate-34,"jj/mm")&amp;" au "&amp;TEXT(mdate-28,"jj/mm")</f>
        <v>semaine du 29/09 au 05/10</v>
      </c>
      <c r="P17" s="85"/>
      <c r="Q17" s="83"/>
      <c r="R17" s="12"/>
      <c r="S17" s="12"/>
      <c r="T17" s="12"/>
      <c r="U17" s="12"/>
      <c r="V17" s="12"/>
      <c r="W17" s="12"/>
      <c r="X17" s="12"/>
      <c r="Y17" s="12"/>
      <c r="Z17" s="12"/>
    </row>
    <row r="18" spans="2:26" ht="33.950000000000003" customHeight="1" x14ac:dyDescent="0.2">
      <c r="B18" s="355" t="s">
        <v>155</v>
      </c>
      <c r="C18" s="356" t="s">
        <v>57</v>
      </c>
      <c r="D18" s="357"/>
      <c r="E18" s="358"/>
      <c r="F18" s="355" t="s">
        <v>155</v>
      </c>
      <c r="G18" s="356" t="s">
        <v>57</v>
      </c>
      <c r="H18" s="357"/>
      <c r="I18" s="358"/>
      <c r="J18" s="355" t="s">
        <v>155</v>
      </c>
      <c r="K18" s="356" t="s">
        <v>57</v>
      </c>
      <c r="L18" s="357"/>
      <c r="M18" s="358"/>
      <c r="N18" s="355" t="s">
        <v>155</v>
      </c>
      <c r="O18" s="356" t="s">
        <v>57</v>
      </c>
      <c r="P18" s="357"/>
      <c r="Q18" s="359"/>
      <c r="R18" s="12"/>
      <c r="S18" s="12"/>
      <c r="T18" s="12"/>
      <c r="U18" s="12"/>
      <c r="V18" s="12"/>
      <c r="W18" s="12"/>
      <c r="X18" s="12"/>
      <c r="Y18" s="12"/>
      <c r="Z18" s="12"/>
    </row>
    <row r="19" spans="2:26" ht="33.950000000000003" customHeight="1" x14ac:dyDescent="0.2">
      <c r="B19" s="360" t="s">
        <v>154</v>
      </c>
      <c r="C19" s="370" t="s">
        <v>213</v>
      </c>
      <c r="D19" s="369" t="str">
        <f>al_marathon</f>
        <v>03:42</v>
      </c>
      <c r="E19" s="363">
        <f>Puls</f>
        <v>162.85</v>
      </c>
      <c r="F19" s="360" t="s">
        <v>154</v>
      </c>
      <c r="G19" s="366" t="s">
        <v>203</v>
      </c>
      <c r="H19" s="362">
        <f>((cat_km*83%)/1000)*200</f>
        <v>2.3055555555555555E-2</v>
      </c>
      <c r="I19" s="363">
        <f>fc_200</f>
        <v>181.18</v>
      </c>
      <c r="J19" s="360" t="s">
        <v>154</v>
      </c>
      <c r="K19" s="366" t="s">
        <v>204</v>
      </c>
      <c r="L19" s="362">
        <f>((cat_km)/1000)*500</f>
        <v>6.9444444444444448E-2</v>
      </c>
      <c r="M19" s="363">
        <f>fc_500</f>
        <v>176.95</v>
      </c>
      <c r="N19" s="360" t="s">
        <v>154</v>
      </c>
      <c r="O19" s="364" t="s">
        <v>195</v>
      </c>
      <c r="P19" s="365">
        <f>cat_vitesse*20</f>
        <v>100</v>
      </c>
      <c r="Q19" s="367">
        <f>fc_x</f>
        <v>169.9</v>
      </c>
      <c r="R19" s="12"/>
      <c r="S19" s="12"/>
      <c r="T19" s="12"/>
      <c r="U19" s="12"/>
      <c r="V19" s="12"/>
      <c r="W19" s="12"/>
      <c r="X19" s="12"/>
      <c r="Y19" s="12"/>
      <c r="Z19" s="12"/>
    </row>
    <row r="20" spans="2:26" ht="33.950000000000003" customHeight="1" x14ac:dyDescent="0.2">
      <c r="B20" s="360" t="s">
        <v>149</v>
      </c>
      <c r="C20" s="368" t="s">
        <v>57</v>
      </c>
      <c r="D20" s="365"/>
      <c r="E20" s="363"/>
      <c r="F20" s="360" t="s">
        <v>149</v>
      </c>
      <c r="G20" s="368" t="s">
        <v>57</v>
      </c>
      <c r="H20" s="369"/>
      <c r="I20" s="363"/>
      <c r="J20" s="360" t="s">
        <v>149</v>
      </c>
      <c r="K20" s="368" t="s">
        <v>57</v>
      </c>
      <c r="L20" s="365"/>
      <c r="M20" s="363"/>
      <c r="N20" s="360" t="s">
        <v>149</v>
      </c>
      <c r="O20" s="368" t="s">
        <v>57</v>
      </c>
      <c r="P20" s="369"/>
      <c r="Q20" s="367"/>
      <c r="R20" s="12"/>
      <c r="S20" s="12"/>
      <c r="T20" s="12"/>
      <c r="U20" s="12"/>
      <c r="V20" s="12"/>
      <c r="W20" s="12"/>
      <c r="X20" s="12"/>
      <c r="Y20" s="12"/>
      <c r="Z20" s="12"/>
    </row>
    <row r="21" spans="2:26" ht="33.950000000000003" customHeight="1" x14ac:dyDescent="0.2">
      <c r="B21" s="360" t="s">
        <v>153</v>
      </c>
      <c r="C21" s="361" t="s">
        <v>186</v>
      </c>
      <c r="D21" s="362">
        <f>cat_km*133.5%</f>
        <v>0.18541666666666667</v>
      </c>
      <c r="E21" s="363">
        <f>(z_travail*75%)+fc_repos</f>
        <v>148.75</v>
      </c>
      <c r="F21" s="360" t="s">
        <v>153</v>
      </c>
      <c r="G21" s="361" t="s">
        <v>186</v>
      </c>
      <c r="H21" s="362">
        <f>cat_km*133.5%</f>
        <v>0.18541666666666667</v>
      </c>
      <c r="I21" s="363">
        <f>(z_travail*75%)+fc_repos</f>
        <v>148.75</v>
      </c>
      <c r="J21" s="360" t="s">
        <v>153</v>
      </c>
      <c r="K21" s="376" t="s">
        <v>187</v>
      </c>
      <c r="L21" s="362">
        <f>cat_km*143%</f>
        <v>0.1986111111111111</v>
      </c>
      <c r="M21" s="363">
        <f>(z_travail*70%)+fc_repos</f>
        <v>141.69999999999999</v>
      </c>
      <c r="N21" s="360" t="s">
        <v>153</v>
      </c>
      <c r="O21" s="361" t="s">
        <v>17</v>
      </c>
      <c r="P21" s="362">
        <f>cat_km*133.5%</f>
        <v>0.18541666666666667</v>
      </c>
      <c r="Q21" s="367">
        <f>(z_travail*75%)+fc_repos</f>
        <v>148.75</v>
      </c>
      <c r="R21" s="12"/>
      <c r="S21" s="12"/>
      <c r="T21" s="12"/>
      <c r="U21" s="12"/>
      <c r="V21" s="12"/>
      <c r="W21" s="12"/>
      <c r="X21" s="12"/>
      <c r="Y21" s="12"/>
      <c r="Z21" s="12"/>
    </row>
    <row r="22" spans="2:26" ht="33.950000000000003" customHeight="1" x14ac:dyDescent="0.2">
      <c r="B22" s="360" t="s">
        <v>150</v>
      </c>
      <c r="C22" s="368" t="s">
        <v>57</v>
      </c>
      <c r="D22" s="369"/>
      <c r="E22" s="363"/>
      <c r="F22" s="360" t="s">
        <v>150</v>
      </c>
      <c r="G22" s="368" t="s">
        <v>57</v>
      </c>
      <c r="H22" s="369"/>
      <c r="I22" s="363"/>
      <c r="J22" s="360" t="s">
        <v>150</v>
      </c>
      <c r="K22" s="368" t="s">
        <v>57</v>
      </c>
      <c r="L22" s="369"/>
      <c r="M22" s="363"/>
      <c r="N22" s="360" t="s">
        <v>150</v>
      </c>
      <c r="O22" s="368" t="s">
        <v>57</v>
      </c>
      <c r="P22" s="369"/>
      <c r="Q22" s="367"/>
      <c r="R22" s="12"/>
      <c r="S22" s="12"/>
      <c r="T22" s="12"/>
      <c r="U22" s="12"/>
      <c r="V22" s="12"/>
      <c r="W22" s="12"/>
      <c r="X22" s="12"/>
      <c r="Y22" s="12"/>
      <c r="Z22" s="12"/>
    </row>
    <row r="23" spans="2:26" ht="33.950000000000003" customHeight="1" x14ac:dyDescent="0.2">
      <c r="B23" s="360" t="s">
        <v>151</v>
      </c>
      <c r="C23" s="370" t="s">
        <v>206</v>
      </c>
      <c r="D23" s="369" t="str">
        <f>al_marathon</f>
        <v>03:42</v>
      </c>
      <c r="E23" s="363">
        <f>Puls</f>
        <v>162.85</v>
      </c>
      <c r="F23" s="360" t="s">
        <v>151</v>
      </c>
      <c r="G23" s="370" t="s">
        <v>211</v>
      </c>
      <c r="H23" s="369" t="str">
        <f>al_marathon</f>
        <v>03:42</v>
      </c>
      <c r="I23" s="363">
        <f>Puls</f>
        <v>162.85</v>
      </c>
      <c r="J23" s="360" t="s">
        <v>151</v>
      </c>
      <c r="K23" s="376" t="s">
        <v>188</v>
      </c>
      <c r="L23" s="362">
        <f>cat_km*143%</f>
        <v>0.1986111111111111</v>
      </c>
      <c r="M23" s="363">
        <f>(z_travail*70%)+fc_repos</f>
        <v>141.69999999999999</v>
      </c>
      <c r="N23" s="360" t="s">
        <v>151</v>
      </c>
      <c r="O23" s="370" t="s">
        <v>212</v>
      </c>
      <c r="P23" s="369" t="str">
        <f>al_marathon</f>
        <v>03:42</v>
      </c>
      <c r="Q23" s="367">
        <f>Puls</f>
        <v>162.85</v>
      </c>
      <c r="R23" s="12"/>
      <c r="S23" s="12"/>
      <c r="T23" s="12"/>
      <c r="U23" s="12"/>
      <c r="V23" s="12"/>
      <c r="W23" s="12"/>
      <c r="X23" s="12"/>
      <c r="Y23" s="12"/>
      <c r="Z23" s="12"/>
    </row>
    <row r="24" spans="2:26" ht="33.950000000000003" customHeight="1" x14ac:dyDescent="0.2">
      <c r="B24" s="371" t="s">
        <v>152</v>
      </c>
      <c r="C24" s="372" t="s">
        <v>194</v>
      </c>
      <c r="D24" s="373">
        <f>cat_km*143%</f>
        <v>0.1986111111111111</v>
      </c>
      <c r="E24" s="374">
        <f>(z_travail*70%)+fc_repos</f>
        <v>141.69999999999999</v>
      </c>
      <c r="F24" s="371" t="s">
        <v>152</v>
      </c>
      <c r="G24" s="372" t="s">
        <v>190</v>
      </c>
      <c r="H24" s="373">
        <f>cat_km*143%</f>
        <v>0.1986111111111111</v>
      </c>
      <c r="I24" s="374">
        <f>(z_travail*70%)+fc_repos</f>
        <v>141.69999999999999</v>
      </c>
      <c r="J24" s="371" t="s">
        <v>152</v>
      </c>
      <c r="K24" s="377" t="s">
        <v>176</v>
      </c>
      <c r="L24" s="378" t="str">
        <f>al_marathon</f>
        <v>03:42</v>
      </c>
      <c r="M24" s="379">
        <f>Puls</f>
        <v>162.85</v>
      </c>
      <c r="N24" s="371" t="s">
        <v>152</v>
      </c>
      <c r="O24" s="372" t="s">
        <v>226</v>
      </c>
      <c r="P24" s="373">
        <f>cat_km*143%</f>
        <v>0.1986111111111111</v>
      </c>
      <c r="Q24" s="375">
        <f>(z_travail*70%)+fc_repos</f>
        <v>141.69999999999999</v>
      </c>
      <c r="R24" s="12"/>
      <c r="S24" s="12"/>
      <c r="T24" s="12"/>
      <c r="U24" s="12"/>
      <c r="V24" s="12"/>
      <c r="W24" s="12"/>
      <c r="X24" s="12"/>
      <c r="Y24" s="12"/>
      <c r="Z24" s="12"/>
    </row>
    <row r="25" spans="2:26" ht="33.950000000000003" customHeight="1" x14ac:dyDescent="0.2">
      <c r="B25" s="12"/>
      <c r="C25" s="323"/>
      <c r="D25" s="12"/>
      <c r="E25" s="324"/>
      <c r="F25" s="12"/>
      <c r="G25" s="323"/>
      <c r="H25" s="12"/>
      <c r="I25" s="324"/>
      <c r="J25" s="12"/>
      <c r="K25" s="323"/>
      <c r="L25" s="12"/>
      <c r="M25" s="324"/>
      <c r="N25" s="12"/>
      <c r="O25" s="323"/>
      <c r="P25" s="12"/>
      <c r="Q25" s="324"/>
      <c r="R25" s="12"/>
      <c r="S25" s="12"/>
      <c r="T25" s="12"/>
      <c r="U25" s="12"/>
      <c r="V25" s="12"/>
      <c r="W25" s="12"/>
      <c r="X25" s="12"/>
      <c r="Y25" s="12"/>
      <c r="Z25" s="12"/>
    </row>
    <row r="26" spans="2:26" ht="27" customHeight="1" x14ac:dyDescent="0.2">
      <c r="B26" s="157" t="s">
        <v>156</v>
      </c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2"/>
      <c r="S26" s="12"/>
      <c r="T26" s="12"/>
      <c r="U26" s="12"/>
      <c r="V26" s="12"/>
      <c r="W26" s="12"/>
      <c r="X26" s="12"/>
      <c r="Y26" s="12"/>
      <c r="Z26" s="12"/>
    </row>
    <row r="27" spans="2:26" s="24" customFormat="1" ht="11.25" customHeight="1" x14ac:dyDescent="0.2"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296"/>
      <c r="S27" s="296"/>
      <c r="T27" s="296"/>
      <c r="U27" s="296"/>
      <c r="V27" s="296"/>
      <c r="W27" s="296"/>
      <c r="X27" s="296"/>
      <c r="Y27" s="296"/>
      <c r="Z27" s="296"/>
    </row>
    <row r="28" spans="2:26" ht="33.950000000000003" customHeight="1" thickBot="1" x14ac:dyDescent="0.25">
      <c r="B28" s="80"/>
      <c r="C28" s="81" t="str">
        <f>"semaine du "&amp;TEXT(mdate-27,"jj/mm")&amp;" au "&amp;TEXT(mdate-21,"jj/mm")</f>
        <v>semaine du 06/10 au 12/10</v>
      </c>
      <c r="D28" s="82"/>
      <c r="E28" s="84"/>
      <c r="F28" s="80"/>
      <c r="G28" s="81" t="str">
        <f>"semaine du "&amp;TEXT(mdate-20,"jj/mm")&amp;" au "&amp;TEXT(mdate-14,"jj/mm")</f>
        <v>semaine du 13/10 au 19/10</v>
      </c>
      <c r="H28" s="82"/>
      <c r="I28" s="84"/>
      <c r="J28" s="80"/>
      <c r="K28" s="81" t="str">
        <f>"semaine du "&amp;TEXT(mdate-13,"jj/mm")&amp;" au "&amp;TEXT(mdate-7,"jj/mm")</f>
        <v>semaine du 20/10 au 26/10</v>
      </c>
      <c r="L28" s="85"/>
      <c r="M28" s="84"/>
      <c r="N28" s="80"/>
      <c r="O28" s="81" t="str">
        <f>"semaine du "&amp;TEXT(mdate-6,"jj/mm")&amp;" au "&amp;TEXT(mdate,"jj/mm")</f>
        <v>semaine du 27/10 au 02/11</v>
      </c>
      <c r="P28" s="85"/>
      <c r="Q28" s="83"/>
      <c r="R28" s="12"/>
      <c r="S28" s="12"/>
      <c r="T28" s="12"/>
      <c r="U28" s="12"/>
      <c r="V28" s="12"/>
      <c r="W28" s="12"/>
      <c r="X28" s="12"/>
      <c r="Y28" s="12"/>
      <c r="Z28" s="12"/>
    </row>
    <row r="29" spans="2:26" ht="33.950000000000003" customHeight="1" x14ac:dyDescent="0.2">
      <c r="B29" s="355" t="s">
        <v>155</v>
      </c>
      <c r="C29" s="356" t="s">
        <v>57</v>
      </c>
      <c r="D29" s="357"/>
      <c r="E29" s="358"/>
      <c r="F29" s="355" t="s">
        <v>155</v>
      </c>
      <c r="G29" s="356" t="s">
        <v>57</v>
      </c>
      <c r="H29" s="357"/>
      <c r="I29" s="358"/>
      <c r="J29" s="355" t="s">
        <v>155</v>
      </c>
      <c r="K29" s="356" t="s">
        <v>57</v>
      </c>
      <c r="L29" s="357"/>
      <c r="M29" s="358"/>
      <c r="N29" s="355" t="s">
        <v>155</v>
      </c>
      <c r="O29" s="356" t="s">
        <v>57</v>
      </c>
      <c r="P29" s="357"/>
      <c r="Q29" s="359"/>
      <c r="R29" s="12"/>
      <c r="S29" s="12"/>
      <c r="T29" s="12"/>
      <c r="U29" s="12"/>
      <c r="V29" s="12"/>
      <c r="W29" s="12"/>
      <c r="X29" s="12"/>
      <c r="Y29" s="12"/>
      <c r="Z29" s="12"/>
    </row>
    <row r="30" spans="2:26" ht="33.950000000000003" customHeight="1" x14ac:dyDescent="0.2">
      <c r="B30" s="360" t="s">
        <v>154</v>
      </c>
      <c r="C30" s="370" t="s">
        <v>209</v>
      </c>
      <c r="D30" s="369" t="str">
        <f>al_marathon</f>
        <v>03:42</v>
      </c>
      <c r="E30" s="363">
        <f>Puls</f>
        <v>162.85</v>
      </c>
      <c r="F30" s="360" t="s">
        <v>154</v>
      </c>
      <c r="G30" s="366" t="s">
        <v>196</v>
      </c>
      <c r="H30" s="362">
        <f>((cat_km*105%))</f>
        <v>0.14583333333333334</v>
      </c>
      <c r="I30" s="363">
        <f>fc_1000</f>
        <v>169.9</v>
      </c>
      <c r="J30" s="360" t="s">
        <v>154</v>
      </c>
      <c r="K30" s="364" t="s">
        <v>178</v>
      </c>
      <c r="L30" s="365">
        <f>cat_vitesse*60</f>
        <v>300</v>
      </c>
      <c r="M30" s="363">
        <f>fc_x</f>
        <v>169.9</v>
      </c>
      <c r="N30" s="360" t="s">
        <v>154</v>
      </c>
      <c r="O30" s="366" t="s">
        <v>205</v>
      </c>
      <c r="P30" s="362">
        <f>((cat_km*97%)/1000)*400</f>
        <v>5.3888888888888889E-2</v>
      </c>
      <c r="Q30" s="367">
        <f>fc_400</f>
        <v>178.35999999999999</v>
      </c>
      <c r="R30" s="12"/>
      <c r="S30" s="12"/>
      <c r="T30" s="12"/>
      <c r="U30" s="12"/>
      <c r="V30" s="12"/>
      <c r="W30" s="12"/>
      <c r="X30" s="12"/>
      <c r="Y30" s="12"/>
      <c r="Z30" s="12"/>
    </row>
    <row r="31" spans="2:26" ht="33.950000000000003" customHeight="1" x14ac:dyDescent="0.2">
      <c r="B31" s="360" t="s">
        <v>149</v>
      </c>
      <c r="C31" s="368" t="s">
        <v>57</v>
      </c>
      <c r="D31" s="369"/>
      <c r="E31" s="363"/>
      <c r="F31" s="360" t="s">
        <v>149</v>
      </c>
      <c r="G31" s="368" t="s">
        <v>57</v>
      </c>
      <c r="H31" s="369"/>
      <c r="I31" s="363"/>
      <c r="J31" s="360" t="s">
        <v>149</v>
      </c>
      <c r="K31" s="368" t="s">
        <v>57</v>
      </c>
      <c r="L31" s="369"/>
      <c r="M31" s="363"/>
      <c r="N31" s="360" t="s">
        <v>149</v>
      </c>
      <c r="O31" s="368" t="s">
        <v>57</v>
      </c>
      <c r="P31" s="369"/>
      <c r="Q31" s="367"/>
      <c r="R31" s="12"/>
      <c r="S31" s="12"/>
      <c r="T31" s="12"/>
      <c r="U31" s="12"/>
      <c r="V31" s="12"/>
      <c r="W31" s="12"/>
      <c r="X31" s="12"/>
      <c r="Y31" s="12"/>
      <c r="Z31" s="12"/>
    </row>
    <row r="32" spans="2:26" ht="33.950000000000003" customHeight="1" x14ac:dyDescent="0.2">
      <c r="B32" s="360" t="s">
        <v>153</v>
      </c>
      <c r="C32" s="361" t="s">
        <v>17</v>
      </c>
      <c r="D32" s="362">
        <f>cat_km*133.5%</f>
        <v>0.18541666666666667</v>
      </c>
      <c r="E32" s="363">
        <f>(z_travail*75%)+fc_repos</f>
        <v>148.75</v>
      </c>
      <c r="F32" s="360" t="s">
        <v>153</v>
      </c>
      <c r="G32" s="361" t="s">
        <v>17</v>
      </c>
      <c r="H32" s="362">
        <f>cat_km*133.5%</f>
        <v>0.18541666666666667</v>
      </c>
      <c r="I32" s="363">
        <f>(z_travail*75%)+fc_repos</f>
        <v>148.75</v>
      </c>
      <c r="J32" s="360" t="s">
        <v>153</v>
      </c>
      <c r="K32" s="361" t="s">
        <v>17</v>
      </c>
      <c r="L32" s="362">
        <f>cat_km*133.5%</f>
        <v>0.18541666666666667</v>
      </c>
      <c r="M32" s="363">
        <f>(z_travail*75%)+fc_repos</f>
        <v>148.75</v>
      </c>
      <c r="N32" s="360" t="s">
        <v>153</v>
      </c>
      <c r="O32" s="361" t="s">
        <v>186</v>
      </c>
      <c r="P32" s="362">
        <f>cat_km*133.5%</f>
        <v>0.18541666666666667</v>
      </c>
      <c r="Q32" s="367">
        <f>(z_travail*75%)+fc_repos</f>
        <v>148.75</v>
      </c>
      <c r="R32" s="12"/>
      <c r="S32" s="12"/>
      <c r="T32" s="12"/>
      <c r="U32" s="339"/>
      <c r="V32" s="12"/>
      <c r="W32" s="12"/>
      <c r="X32" s="12"/>
      <c r="Y32" s="12"/>
      <c r="Z32" s="12"/>
    </row>
    <row r="33" spans="2:26" ht="33.950000000000003" customHeight="1" x14ac:dyDescent="0.2">
      <c r="B33" s="360" t="s">
        <v>150</v>
      </c>
      <c r="C33" s="368" t="s">
        <v>57</v>
      </c>
      <c r="D33" s="369"/>
      <c r="E33" s="363"/>
      <c r="F33" s="360" t="s">
        <v>150</v>
      </c>
      <c r="G33" s="368" t="s">
        <v>57</v>
      </c>
      <c r="H33" s="369"/>
      <c r="I33" s="363"/>
      <c r="J33" s="360" t="s">
        <v>150</v>
      </c>
      <c r="K33" s="368" t="s">
        <v>57</v>
      </c>
      <c r="L33" s="369"/>
      <c r="M33" s="363"/>
      <c r="N33" s="360" t="s">
        <v>150</v>
      </c>
      <c r="O33" s="368" t="s">
        <v>57</v>
      </c>
      <c r="P33" s="369"/>
      <c r="Q33" s="367"/>
      <c r="R33" s="12"/>
      <c r="S33" s="12"/>
      <c r="T33" s="12"/>
      <c r="U33" s="12"/>
      <c r="V33" s="12"/>
      <c r="W33" s="12"/>
      <c r="X33" s="12"/>
      <c r="Y33" s="12"/>
      <c r="Z33" s="12"/>
    </row>
    <row r="34" spans="2:26" ht="33.950000000000003" customHeight="1" x14ac:dyDescent="0.2">
      <c r="B34" s="360" t="s">
        <v>151</v>
      </c>
      <c r="C34" s="376" t="s">
        <v>188</v>
      </c>
      <c r="D34" s="362">
        <f>cat_km*143%</f>
        <v>0.1986111111111111</v>
      </c>
      <c r="E34" s="363">
        <f>(z_travail*70%)+fc_repos</f>
        <v>141.69999999999999</v>
      </c>
      <c r="F34" s="360" t="s">
        <v>151</v>
      </c>
      <c r="G34" s="370" t="s">
        <v>208</v>
      </c>
      <c r="H34" s="369" t="str">
        <f>al_marathon</f>
        <v>03:42</v>
      </c>
      <c r="I34" s="363">
        <f>Puls</f>
        <v>162.85</v>
      </c>
      <c r="J34" s="360" t="s">
        <v>151</v>
      </c>
      <c r="K34" s="370" t="s">
        <v>207</v>
      </c>
      <c r="L34" s="369" t="str">
        <f>al_marathon</f>
        <v>03:42</v>
      </c>
      <c r="M34" s="363">
        <f>Puls</f>
        <v>162.85</v>
      </c>
      <c r="N34" s="360" t="s">
        <v>151</v>
      </c>
      <c r="O34" s="376" t="s">
        <v>188</v>
      </c>
      <c r="P34" s="362">
        <f>cat_km*143%</f>
        <v>0.1986111111111111</v>
      </c>
      <c r="Q34" s="367">
        <f>(z_travail*70%)+fc_repos</f>
        <v>141.69999999999999</v>
      </c>
      <c r="R34" s="12"/>
      <c r="S34" s="12"/>
      <c r="T34" s="12"/>
      <c r="U34" s="12"/>
      <c r="V34" s="12"/>
      <c r="W34" s="12"/>
      <c r="X34" s="12"/>
      <c r="Y34" s="12"/>
      <c r="Z34" s="12"/>
    </row>
    <row r="35" spans="2:26" ht="33.950000000000003" customHeight="1" x14ac:dyDescent="0.2">
      <c r="B35" s="371" t="s">
        <v>152</v>
      </c>
      <c r="C35" s="377" t="s">
        <v>189</v>
      </c>
      <c r="D35" s="378" t="str">
        <f>al_marathon</f>
        <v>03:42</v>
      </c>
      <c r="E35" s="379">
        <f>Puls</f>
        <v>162.85</v>
      </c>
      <c r="F35" s="371" t="s">
        <v>152</v>
      </c>
      <c r="G35" s="372" t="s">
        <v>226</v>
      </c>
      <c r="H35" s="373">
        <f>cat_km*143%</f>
        <v>0.1986111111111111</v>
      </c>
      <c r="I35" s="374">
        <f>(z_travail*70%)+fc_repos</f>
        <v>141.69999999999999</v>
      </c>
      <c r="J35" s="371" t="s">
        <v>152</v>
      </c>
      <c r="K35" s="372" t="s">
        <v>227</v>
      </c>
      <c r="L35" s="373">
        <f>cat_km*143%</f>
        <v>0.1986111111111111</v>
      </c>
      <c r="M35" s="374">
        <f>(z_travail*70%)+fc_repos</f>
        <v>141.69999999999999</v>
      </c>
      <c r="N35" s="371" t="s">
        <v>152</v>
      </c>
      <c r="O35" s="380" t="s">
        <v>175</v>
      </c>
      <c r="P35" s="381">
        <f>objectif</f>
        <v>2.5717592592592594E-2</v>
      </c>
      <c r="Q35" s="382">
        <f>Puls</f>
        <v>162.85</v>
      </c>
      <c r="R35" s="12"/>
      <c r="S35" s="12"/>
      <c r="T35" s="12"/>
      <c r="U35" s="12"/>
      <c r="V35" s="12"/>
      <c r="W35" s="12"/>
      <c r="X35" s="12"/>
      <c r="Y35" s="12"/>
      <c r="Z35" s="12"/>
    </row>
  </sheetData>
  <sheetProtection password="F7AF" sheet="1" objects="1" scenarios="1"/>
  <mergeCells count="4">
    <mergeCell ref="B26:Q26"/>
    <mergeCell ref="B15:Q15"/>
    <mergeCell ref="B4:Q4"/>
    <mergeCell ref="B2:T2"/>
  </mergeCells>
  <phoneticPr fontId="0" type="noConversion"/>
  <printOptions horizontalCentered="1" verticalCentered="1"/>
  <pageMargins left="0.19685039370078741" right="0.19685039370078741" top="0.59055118110236227" bottom="0.59055118110236227" header="0.51181102362204722" footer="0.51181102362204722"/>
  <pageSetup paperSize="9" firstPageNumber="0" orientation="landscape" horizontalDpi="300" verticalDpi="300" r:id="rId1"/>
  <headerFooter alignWithMargins="0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</sheetPr>
  <dimension ref="A1:W36"/>
  <sheetViews>
    <sheetView showGridLines="0" zoomScale="85" zoomScaleNormal="85" workbookViewId="0">
      <selection activeCell="Y6" sqref="Y6"/>
    </sheetView>
  </sheetViews>
  <sheetFormatPr baseColWidth="10" defaultRowHeight="33.950000000000003" customHeight="1" x14ac:dyDescent="0.2"/>
  <cols>
    <col min="1" max="2" width="6.7109375" customWidth="1"/>
    <col min="3" max="3" width="16.42578125" style="14" customWidth="1"/>
    <col min="4" max="4" width="7.7109375" customWidth="1"/>
    <col min="5" max="5" width="3.7109375" style="15" customWidth="1"/>
    <col min="6" max="6" width="6.7109375" customWidth="1"/>
    <col min="7" max="7" width="16.42578125" style="14" customWidth="1"/>
    <col min="8" max="8" width="7.7109375" customWidth="1"/>
    <col min="9" max="9" width="3.7109375" style="15" bestFit="1" customWidth="1"/>
    <col min="10" max="10" width="6.7109375" customWidth="1"/>
    <col min="11" max="11" width="16.42578125" style="14" customWidth="1"/>
    <col min="12" max="12" width="7.7109375" customWidth="1"/>
    <col min="13" max="13" width="3.7109375" style="15" bestFit="1" customWidth="1"/>
    <col min="14" max="14" width="6.7109375" customWidth="1"/>
    <col min="15" max="15" width="16.42578125" style="14" customWidth="1"/>
    <col min="16" max="16" width="7.7109375" customWidth="1"/>
    <col min="17" max="17" width="3.7109375" style="15" bestFit="1" customWidth="1"/>
  </cols>
  <sheetData>
    <row r="1" spans="1:23" ht="15.75" customHeight="1" x14ac:dyDescent="0.2"/>
    <row r="2" spans="1:23" s="23" customFormat="1" ht="36" customHeight="1" x14ac:dyDescent="0.5">
      <c r="A2" s="293"/>
      <c r="B2" s="294" t="s">
        <v>266</v>
      </c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3"/>
      <c r="U2" s="293"/>
      <c r="V2" s="293"/>
      <c r="W2" s="293"/>
    </row>
    <row r="3" spans="1:23" ht="33.950000000000003" customHeight="1" x14ac:dyDescent="0.2">
      <c r="A3" s="12"/>
      <c r="B3" s="12"/>
      <c r="C3" s="323"/>
      <c r="D3" s="12"/>
      <c r="E3" s="324"/>
      <c r="F3" s="12"/>
      <c r="G3" s="323"/>
      <c r="H3" s="12"/>
      <c r="I3" s="324"/>
      <c r="J3" s="12"/>
      <c r="K3" s="323"/>
      <c r="L3" s="12"/>
      <c r="M3" s="324"/>
      <c r="N3" s="12"/>
      <c r="O3" s="323"/>
      <c r="P3" s="12"/>
      <c r="Q3" s="324"/>
      <c r="R3" s="12"/>
      <c r="S3" s="12"/>
      <c r="T3" s="12"/>
      <c r="U3" s="12"/>
      <c r="V3" s="12"/>
      <c r="W3" s="12"/>
    </row>
    <row r="4" spans="1:23" ht="25.5" customHeight="1" x14ac:dyDescent="0.2">
      <c r="A4" s="12"/>
      <c r="B4" s="157" t="s">
        <v>60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2"/>
      <c r="S4" s="12"/>
      <c r="T4" s="12"/>
      <c r="U4" s="12"/>
      <c r="V4" s="12"/>
      <c r="W4" s="12"/>
    </row>
    <row r="5" spans="1:23" s="24" customFormat="1" ht="12.75" customHeight="1" x14ac:dyDescent="0.2">
      <c r="A5" s="296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296"/>
      <c r="S5" s="296"/>
      <c r="T5" s="296"/>
      <c r="U5" s="296"/>
      <c r="V5" s="296"/>
      <c r="W5" s="296"/>
    </row>
    <row r="6" spans="1:23" ht="33.950000000000003" customHeight="1" thickBot="1" x14ac:dyDescent="0.25">
      <c r="A6" s="12"/>
      <c r="B6" s="80"/>
      <c r="C6" s="81" t="str">
        <f>"semaine du "&amp;TEXT(mdate-83,"jj/mm")&amp;" au "&amp;TEXT(mdate-77,"jj/mm")</f>
        <v>semaine du 11/08 au 17/08</v>
      </c>
      <c r="D6" s="81" t="s">
        <v>126</v>
      </c>
      <c r="E6" s="84" t="s">
        <v>56</v>
      </c>
      <c r="F6" s="80"/>
      <c r="G6" s="81" t="str">
        <f>"semaine du "&amp;TEXT(mdate-76,"jj/mm")&amp;" au "&amp;TEXT(mdate-70,"jj/mm")</f>
        <v>semaine du 18/08 au 24/08</v>
      </c>
      <c r="H6" s="82" t="s">
        <v>126</v>
      </c>
      <c r="I6" s="84" t="s">
        <v>56</v>
      </c>
      <c r="J6" s="80"/>
      <c r="K6" s="81" t="str">
        <f>"semaine du "&amp;TEXT(mdate-69,"jj/mm")&amp;" au "&amp;TEXT(mdate-63,"jj/mm")</f>
        <v>semaine du 25/08 au 31/08</v>
      </c>
      <c r="L6" s="81" t="s">
        <v>126</v>
      </c>
      <c r="M6" s="84" t="s">
        <v>56</v>
      </c>
      <c r="N6" s="80"/>
      <c r="O6" s="81" t="str">
        <f>"semaine du "&amp;TEXT(mdate-62,"jj/mm")&amp;" au "&amp;TEXT(mdate-56,"jj/mm")</f>
        <v>semaine du 01/09 au 07/09</v>
      </c>
      <c r="P6" s="81" t="s">
        <v>126</v>
      </c>
      <c r="Q6" s="83" t="s">
        <v>56</v>
      </c>
      <c r="R6" s="12"/>
      <c r="S6" s="12"/>
      <c r="T6" s="12"/>
      <c r="U6" s="12"/>
      <c r="V6" s="12"/>
      <c r="W6" s="12"/>
    </row>
    <row r="7" spans="1:23" ht="33.950000000000003" customHeight="1" x14ac:dyDescent="0.2">
      <c r="A7" s="12"/>
      <c r="B7" s="355" t="s">
        <v>155</v>
      </c>
      <c r="C7" s="356" t="s">
        <v>57</v>
      </c>
      <c r="D7" s="357"/>
      <c r="E7" s="358"/>
      <c r="F7" s="355" t="s">
        <v>155</v>
      </c>
      <c r="G7" s="356" t="s">
        <v>57</v>
      </c>
      <c r="H7" s="357"/>
      <c r="I7" s="358"/>
      <c r="J7" s="355" t="s">
        <v>155</v>
      </c>
      <c r="K7" s="356" t="s">
        <v>57</v>
      </c>
      <c r="L7" s="357"/>
      <c r="M7" s="358"/>
      <c r="N7" s="355" t="s">
        <v>155</v>
      </c>
      <c r="O7" s="356" t="s">
        <v>57</v>
      </c>
      <c r="P7" s="357"/>
      <c r="Q7" s="359"/>
      <c r="R7" s="12"/>
      <c r="S7" s="12"/>
      <c r="T7" s="12"/>
      <c r="U7" s="12"/>
      <c r="V7" s="12"/>
      <c r="W7" s="12"/>
    </row>
    <row r="8" spans="1:23" ht="33.950000000000003" customHeight="1" x14ac:dyDescent="0.2">
      <c r="A8" s="12"/>
      <c r="B8" s="360" t="s">
        <v>154</v>
      </c>
      <c r="C8" s="361" t="s">
        <v>125</v>
      </c>
      <c r="D8" s="362">
        <f>cat_km*133.5%</f>
        <v>0.18541666666666667</v>
      </c>
      <c r="E8" s="363">
        <f>(z_travail*75%)+fc_repos</f>
        <v>148.75</v>
      </c>
      <c r="F8" s="360" t="s">
        <v>154</v>
      </c>
      <c r="G8" s="364" t="s">
        <v>181</v>
      </c>
      <c r="H8" s="365">
        <f>cat_vitesse*30</f>
        <v>150</v>
      </c>
      <c r="I8" s="363">
        <f>fc_x</f>
        <v>169.9</v>
      </c>
      <c r="J8" s="360" t="s">
        <v>154</v>
      </c>
      <c r="K8" s="361" t="s">
        <v>186</v>
      </c>
      <c r="L8" s="362">
        <f>cat_km*133.5%</f>
        <v>0.18541666666666667</v>
      </c>
      <c r="M8" s="363">
        <f>(z_travail*75%)+fc_repos</f>
        <v>148.75</v>
      </c>
      <c r="N8" s="360" t="s">
        <v>154</v>
      </c>
      <c r="O8" s="364" t="s">
        <v>182</v>
      </c>
      <c r="P8" s="365">
        <f>cat_vitesse*20</f>
        <v>100</v>
      </c>
      <c r="Q8" s="367">
        <f>fc_x</f>
        <v>169.9</v>
      </c>
      <c r="R8" s="12"/>
      <c r="S8" s="12"/>
      <c r="T8" s="12"/>
      <c r="U8" s="12"/>
      <c r="V8" s="12"/>
      <c r="W8" s="12"/>
    </row>
    <row r="9" spans="1:23" ht="33.950000000000003" customHeight="1" x14ac:dyDescent="0.2">
      <c r="A9" s="12"/>
      <c r="B9" s="360" t="s">
        <v>149</v>
      </c>
      <c r="C9" s="368" t="s">
        <v>57</v>
      </c>
      <c r="D9" s="369"/>
      <c r="E9" s="363"/>
      <c r="F9" s="360" t="s">
        <v>149</v>
      </c>
      <c r="G9" s="368" t="s">
        <v>57</v>
      </c>
      <c r="H9" s="369"/>
      <c r="I9" s="363"/>
      <c r="J9" s="360" t="s">
        <v>149</v>
      </c>
      <c r="K9" s="368" t="s">
        <v>57</v>
      </c>
      <c r="L9" s="369"/>
      <c r="M9" s="363"/>
      <c r="N9" s="360" t="s">
        <v>149</v>
      </c>
      <c r="O9" s="368" t="s">
        <v>57</v>
      </c>
      <c r="P9" s="369"/>
      <c r="Q9" s="367"/>
      <c r="R9" s="12"/>
      <c r="S9" s="12"/>
      <c r="T9" s="12"/>
      <c r="U9" s="12"/>
      <c r="V9" s="12"/>
      <c r="W9" s="12"/>
    </row>
    <row r="10" spans="1:23" ht="33.950000000000003" customHeight="1" x14ac:dyDescent="0.2">
      <c r="A10" s="12"/>
      <c r="B10" s="360" t="s">
        <v>153</v>
      </c>
      <c r="C10" s="361" t="s">
        <v>18</v>
      </c>
      <c r="D10" s="362">
        <f>cat_km*133.5%</f>
        <v>0.18541666666666667</v>
      </c>
      <c r="E10" s="363">
        <f>(z_travail*75%)+fc_repos</f>
        <v>148.75</v>
      </c>
      <c r="F10" s="360" t="s">
        <v>153</v>
      </c>
      <c r="G10" s="361" t="s">
        <v>125</v>
      </c>
      <c r="H10" s="362">
        <f>cat_km*133.5%</f>
        <v>0.18541666666666667</v>
      </c>
      <c r="I10" s="363">
        <f>(z_travail*75%)+fc_repos</f>
        <v>148.75</v>
      </c>
      <c r="J10" s="360" t="s">
        <v>153</v>
      </c>
      <c r="K10" s="366" t="s">
        <v>200</v>
      </c>
      <c r="L10" s="362">
        <f>((cat_km*83%)/1000)*200</f>
        <v>2.3055555555555555E-2</v>
      </c>
      <c r="M10" s="363">
        <f>fc_200</f>
        <v>181.18</v>
      </c>
      <c r="N10" s="360" t="s">
        <v>153</v>
      </c>
      <c r="O10" s="361" t="s">
        <v>125</v>
      </c>
      <c r="P10" s="362">
        <f>cat_km*133.5%</f>
        <v>0.18541666666666667</v>
      </c>
      <c r="Q10" s="367">
        <f>(z_travail*75%)+fc_repos</f>
        <v>148.75</v>
      </c>
      <c r="R10" s="12"/>
      <c r="S10" s="12"/>
      <c r="T10" s="12"/>
      <c r="U10" s="12"/>
      <c r="V10" s="12"/>
      <c r="W10" s="12"/>
    </row>
    <row r="11" spans="1:23" ht="33.950000000000003" customHeight="1" x14ac:dyDescent="0.2">
      <c r="A11" s="12"/>
      <c r="B11" s="360" t="s">
        <v>150</v>
      </c>
      <c r="C11" s="368" t="s">
        <v>57</v>
      </c>
      <c r="D11" s="369"/>
      <c r="E11" s="363"/>
      <c r="F11" s="360" t="s">
        <v>150</v>
      </c>
      <c r="G11" s="368" t="s">
        <v>57</v>
      </c>
      <c r="H11" s="369"/>
      <c r="I11" s="363"/>
      <c r="J11" s="360" t="s">
        <v>150</v>
      </c>
      <c r="K11" s="368" t="s">
        <v>57</v>
      </c>
      <c r="L11" s="369"/>
      <c r="M11" s="363"/>
      <c r="N11" s="360" t="s">
        <v>150</v>
      </c>
      <c r="O11" s="368" t="s">
        <v>57</v>
      </c>
      <c r="P11" s="369"/>
      <c r="Q11" s="367"/>
      <c r="R11" s="12"/>
      <c r="S11" s="12"/>
      <c r="T11" s="12"/>
      <c r="U11" s="12"/>
      <c r="V11" s="12"/>
      <c r="W11" s="12"/>
    </row>
    <row r="12" spans="1:23" ht="33.950000000000003" customHeight="1" x14ac:dyDescent="0.2">
      <c r="A12" s="12"/>
      <c r="B12" s="360" t="s">
        <v>151</v>
      </c>
      <c r="C12" s="368" t="s">
        <v>57</v>
      </c>
      <c r="D12" s="369"/>
      <c r="E12" s="363"/>
      <c r="F12" s="360" t="s">
        <v>151</v>
      </c>
      <c r="G12" s="368" t="s">
        <v>57</v>
      </c>
      <c r="H12" s="369"/>
      <c r="I12" s="363"/>
      <c r="J12" s="360" t="s">
        <v>151</v>
      </c>
      <c r="K12" s="368" t="s">
        <v>57</v>
      </c>
      <c r="L12" s="369"/>
      <c r="M12" s="363"/>
      <c r="N12" s="360" t="s">
        <v>151</v>
      </c>
      <c r="O12" s="368" t="s">
        <v>57</v>
      </c>
      <c r="P12" s="369"/>
      <c r="Q12" s="367"/>
      <c r="R12" s="12"/>
      <c r="S12" s="12"/>
      <c r="T12" s="12"/>
      <c r="U12" s="12"/>
      <c r="V12" s="12"/>
      <c r="W12" s="12"/>
    </row>
    <row r="13" spans="1:23" ht="33.950000000000003" customHeight="1" x14ac:dyDescent="0.2">
      <c r="A13" s="12"/>
      <c r="B13" s="371" t="s">
        <v>152</v>
      </c>
      <c r="C13" s="383" t="s">
        <v>222</v>
      </c>
      <c r="D13" s="384" t="str">
        <f>al_marathon</f>
        <v>03:42</v>
      </c>
      <c r="E13" s="374">
        <f>Puls</f>
        <v>162.85</v>
      </c>
      <c r="F13" s="371" t="s">
        <v>152</v>
      </c>
      <c r="G13" s="383" t="s">
        <v>221</v>
      </c>
      <c r="H13" s="384" t="str">
        <f>al_marathon</f>
        <v>03:42</v>
      </c>
      <c r="I13" s="374">
        <f>Puls</f>
        <v>162.85</v>
      </c>
      <c r="J13" s="371" t="s">
        <v>152</v>
      </c>
      <c r="K13" s="383" t="s">
        <v>220</v>
      </c>
      <c r="L13" s="384" t="str">
        <f>al_marathon</f>
        <v>03:42</v>
      </c>
      <c r="M13" s="374">
        <f>Puls</f>
        <v>162.85</v>
      </c>
      <c r="N13" s="371" t="s">
        <v>152</v>
      </c>
      <c r="O13" s="383" t="s">
        <v>219</v>
      </c>
      <c r="P13" s="384" t="str">
        <f>al_marathon</f>
        <v>03:42</v>
      </c>
      <c r="Q13" s="375">
        <f>Puls</f>
        <v>162.85</v>
      </c>
      <c r="R13" s="12"/>
      <c r="S13" s="12"/>
      <c r="T13" s="12"/>
      <c r="U13" s="12"/>
      <c r="V13" s="12"/>
      <c r="W13" s="12"/>
    </row>
    <row r="14" spans="1:23" ht="25.5" customHeight="1" x14ac:dyDescent="0.2">
      <c r="A14" s="12"/>
      <c r="B14" s="12"/>
      <c r="C14" s="323"/>
      <c r="D14" s="12"/>
      <c r="E14" s="324"/>
      <c r="F14" s="12"/>
      <c r="G14" s="323"/>
      <c r="H14" s="12"/>
      <c r="I14" s="324"/>
      <c r="J14" s="12"/>
      <c r="K14" s="323"/>
      <c r="L14" s="12"/>
      <c r="M14" s="324"/>
      <c r="N14" s="12"/>
      <c r="O14" s="323"/>
      <c r="P14" s="12"/>
      <c r="Q14" s="324"/>
      <c r="R14" s="12"/>
      <c r="S14" s="12"/>
      <c r="T14" s="12"/>
      <c r="U14" s="12"/>
      <c r="V14" s="12"/>
      <c r="W14" s="12"/>
    </row>
    <row r="15" spans="1:23" ht="23.25" customHeight="1" x14ac:dyDescent="0.2">
      <c r="A15" s="12"/>
      <c r="B15" s="157" t="s">
        <v>61</v>
      </c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2"/>
      <c r="S15" s="12"/>
      <c r="T15" s="12"/>
      <c r="U15" s="12"/>
      <c r="V15" s="12"/>
      <c r="W15" s="12"/>
    </row>
    <row r="16" spans="1:23" s="24" customFormat="1" ht="9.75" customHeight="1" x14ac:dyDescent="0.2">
      <c r="A16" s="296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296"/>
      <c r="S16" s="296"/>
      <c r="T16" s="296"/>
      <c r="U16" s="296"/>
      <c r="V16" s="296"/>
      <c r="W16" s="296"/>
    </row>
    <row r="17" spans="1:23" ht="33.950000000000003" customHeight="1" thickBot="1" x14ac:dyDescent="0.25">
      <c r="A17" s="12"/>
      <c r="B17" s="80"/>
      <c r="C17" s="81" t="str">
        <f>"semaine du "&amp;TEXT(mdate-55,"jj/mm")&amp;" au "&amp;TEXT(mdate-49,"jj/mm")</f>
        <v>semaine du 08/09 au 14/09</v>
      </c>
      <c r="D17" s="82"/>
      <c r="E17" s="84"/>
      <c r="F17" s="80"/>
      <c r="G17" s="81" t="str">
        <f>"semaine du "&amp;TEXT(mdate-48,"jj/mm")&amp;" au "&amp;TEXT(mdate-42,"jj/mm")</f>
        <v>semaine du 15/09 au 21/09</v>
      </c>
      <c r="H17" s="82"/>
      <c r="I17" s="84"/>
      <c r="J17" s="80"/>
      <c r="K17" s="81" t="str">
        <f>"semaine du "&amp;TEXT(mdate-41,"jj/mm")&amp;" au "&amp;TEXT(mdate-35,"jj/mm")</f>
        <v>semaine du 22/09 au 28/09</v>
      </c>
      <c r="L17" s="85"/>
      <c r="M17" s="84"/>
      <c r="N17" s="80"/>
      <c r="O17" s="81" t="str">
        <f>"semaine du "&amp;TEXT(mdate-34,"jj/mm")&amp;" au "&amp;TEXT(mdate-28,"jj/mm")</f>
        <v>semaine du 29/09 au 05/10</v>
      </c>
      <c r="P17" s="85"/>
      <c r="Q17" s="83"/>
      <c r="R17" s="12"/>
      <c r="S17" s="12"/>
      <c r="T17" s="12"/>
      <c r="U17" s="12"/>
      <c r="V17" s="12"/>
      <c r="W17" s="12"/>
    </row>
    <row r="18" spans="1:23" ht="33.950000000000003" customHeight="1" x14ac:dyDescent="0.2">
      <c r="A18" s="12"/>
      <c r="B18" s="355" t="s">
        <v>155</v>
      </c>
      <c r="C18" s="356" t="s">
        <v>57</v>
      </c>
      <c r="D18" s="357"/>
      <c r="E18" s="358"/>
      <c r="F18" s="355" t="s">
        <v>155</v>
      </c>
      <c r="G18" s="356" t="s">
        <v>57</v>
      </c>
      <c r="H18" s="385"/>
      <c r="I18" s="386"/>
      <c r="J18" s="355" t="s">
        <v>155</v>
      </c>
      <c r="K18" s="356" t="s">
        <v>57</v>
      </c>
      <c r="L18" s="357"/>
      <c r="M18" s="358"/>
      <c r="N18" s="355" t="s">
        <v>155</v>
      </c>
      <c r="O18" s="356" t="s">
        <v>57</v>
      </c>
      <c r="P18" s="357"/>
      <c r="Q18" s="359"/>
      <c r="R18" s="12"/>
      <c r="S18" s="12"/>
      <c r="T18" s="12"/>
      <c r="U18" s="12"/>
      <c r="V18" s="12"/>
      <c r="W18" s="12"/>
    </row>
    <row r="19" spans="1:23" ht="33.950000000000003" customHeight="1" x14ac:dyDescent="0.2">
      <c r="A19" s="12"/>
      <c r="B19" s="360" t="s">
        <v>154</v>
      </c>
      <c r="C19" s="361" t="s">
        <v>186</v>
      </c>
      <c r="D19" s="362">
        <f>cat_km*133.5%</f>
        <v>0.18541666666666667</v>
      </c>
      <c r="E19" s="363">
        <f>(z_travail*75%)+fc_repos</f>
        <v>148.75</v>
      </c>
      <c r="F19" s="360" t="s">
        <v>154</v>
      </c>
      <c r="G19" s="364" t="s">
        <v>180</v>
      </c>
      <c r="H19" s="365">
        <f>cat_vitesse*40</f>
        <v>200</v>
      </c>
      <c r="I19" s="363">
        <f>fc_x</f>
        <v>169.9</v>
      </c>
      <c r="J19" s="360" t="s">
        <v>154</v>
      </c>
      <c r="K19" s="366" t="s">
        <v>199</v>
      </c>
      <c r="L19" s="362">
        <f>((cat_km)/1000)*500</f>
        <v>6.9444444444444448E-2</v>
      </c>
      <c r="M19" s="363">
        <f>fc_500</f>
        <v>176.95</v>
      </c>
      <c r="N19" s="360" t="s">
        <v>154</v>
      </c>
      <c r="O19" s="364" t="s">
        <v>179</v>
      </c>
      <c r="P19" s="365">
        <f>cat_vitesse*15</f>
        <v>75</v>
      </c>
      <c r="Q19" s="367">
        <f>fc_x</f>
        <v>169.9</v>
      </c>
      <c r="R19" s="12"/>
      <c r="S19" s="12"/>
      <c r="T19" s="12"/>
      <c r="U19" s="12"/>
      <c r="V19" s="12"/>
      <c r="W19" s="12"/>
    </row>
    <row r="20" spans="1:23" ht="33.950000000000003" customHeight="1" x14ac:dyDescent="0.2">
      <c r="A20" s="12"/>
      <c r="B20" s="360" t="s">
        <v>149</v>
      </c>
      <c r="C20" s="368" t="s">
        <v>57</v>
      </c>
      <c r="D20" s="369"/>
      <c r="E20" s="363"/>
      <c r="F20" s="360" t="s">
        <v>149</v>
      </c>
      <c r="G20" s="368" t="s">
        <v>57</v>
      </c>
      <c r="H20" s="369"/>
      <c r="I20" s="363"/>
      <c r="J20" s="360" t="s">
        <v>149</v>
      </c>
      <c r="K20" s="368" t="s">
        <v>57</v>
      </c>
      <c r="L20" s="369"/>
      <c r="M20" s="363"/>
      <c r="N20" s="360" t="s">
        <v>149</v>
      </c>
      <c r="O20" s="368" t="s">
        <v>57</v>
      </c>
      <c r="P20" s="369"/>
      <c r="Q20" s="367"/>
      <c r="R20" s="12"/>
      <c r="S20" s="12"/>
      <c r="T20" s="12"/>
      <c r="U20" s="12"/>
      <c r="V20" s="12"/>
      <c r="W20" s="12"/>
    </row>
    <row r="21" spans="1:23" ht="33.950000000000003" customHeight="1" x14ac:dyDescent="0.2">
      <c r="A21" s="12"/>
      <c r="B21" s="360" t="s">
        <v>153</v>
      </c>
      <c r="C21" s="387" t="s">
        <v>185</v>
      </c>
      <c r="D21" s="369" t="str">
        <f>al_marathon</f>
        <v>03:42</v>
      </c>
      <c r="E21" s="363">
        <f>Puls</f>
        <v>162.85</v>
      </c>
      <c r="F21" s="360" t="s">
        <v>153</v>
      </c>
      <c r="G21" s="361" t="s">
        <v>186</v>
      </c>
      <c r="H21" s="362">
        <f>cat_km*133.5%</f>
        <v>0.18541666666666667</v>
      </c>
      <c r="I21" s="363">
        <f>(z_travail*75%)+fc_repos</f>
        <v>148.75</v>
      </c>
      <c r="J21" s="360" t="s">
        <v>153</v>
      </c>
      <c r="K21" s="388" t="s">
        <v>187</v>
      </c>
      <c r="L21" s="362">
        <f>cat_km*143%</f>
        <v>0.1986111111111111</v>
      </c>
      <c r="M21" s="363">
        <f>(z_travail*70%)+fc_repos</f>
        <v>141.69999999999999</v>
      </c>
      <c r="N21" s="360" t="s">
        <v>153</v>
      </c>
      <c r="O21" s="361" t="s">
        <v>186</v>
      </c>
      <c r="P21" s="362">
        <f>cat_km*133.5%</f>
        <v>0.18541666666666667</v>
      </c>
      <c r="Q21" s="367">
        <f>(z_travail*75%)+fc_repos</f>
        <v>148.75</v>
      </c>
      <c r="R21" s="12"/>
      <c r="S21" s="12"/>
      <c r="T21" s="12"/>
      <c r="U21" s="12"/>
      <c r="V21" s="12"/>
      <c r="W21" s="12"/>
    </row>
    <row r="22" spans="1:23" ht="33.950000000000003" customHeight="1" x14ac:dyDescent="0.2">
      <c r="A22" s="12"/>
      <c r="B22" s="360" t="s">
        <v>150</v>
      </c>
      <c r="C22" s="368" t="s">
        <v>57</v>
      </c>
      <c r="D22" s="369"/>
      <c r="E22" s="363"/>
      <c r="F22" s="360" t="s">
        <v>150</v>
      </c>
      <c r="G22" s="368" t="s">
        <v>57</v>
      </c>
      <c r="H22" s="369"/>
      <c r="I22" s="363"/>
      <c r="J22" s="360" t="s">
        <v>150</v>
      </c>
      <c r="K22" s="368" t="s">
        <v>57</v>
      </c>
      <c r="L22" s="369"/>
      <c r="M22" s="363"/>
      <c r="N22" s="360" t="s">
        <v>150</v>
      </c>
      <c r="O22" s="368" t="s">
        <v>57</v>
      </c>
      <c r="P22" s="369"/>
      <c r="Q22" s="367"/>
      <c r="R22" s="12"/>
      <c r="S22" s="12"/>
      <c r="T22" s="12"/>
      <c r="U22" s="12"/>
      <c r="V22" s="12"/>
      <c r="W22" s="12"/>
    </row>
    <row r="23" spans="1:23" ht="33.950000000000003" customHeight="1" x14ac:dyDescent="0.2">
      <c r="A23" s="12"/>
      <c r="B23" s="360" t="s">
        <v>151</v>
      </c>
      <c r="C23" s="368" t="s">
        <v>57</v>
      </c>
      <c r="D23" s="369"/>
      <c r="E23" s="363"/>
      <c r="F23" s="360" t="s">
        <v>151</v>
      </c>
      <c r="G23" s="368" t="s">
        <v>57</v>
      </c>
      <c r="H23" s="369"/>
      <c r="I23" s="363"/>
      <c r="J23" s="360" t="s">
        <v>151</v>
      </c>
      <c r="K23" s="368" t="s">
        <v>57</v>
      </c>
      <c r="L23" s="369"/>
      <c r="M23" s="363"/>
      <c r="N23" s="360" t="s">
        <v>151</v>
      </c>
      <c r="O23" s="368" t="s">
        <v>57</v>
      </c>
      <c r="P23" s="369"/>
      <c r="Q23" s="367"/>
      <c r="R23" s="12"/>
      <c r="S23" s="12"/>
      <c r="T23" s="12"/>
      <c r="U23" s="12"/>
      <c r="V23" s="12"/>
      <c r="W23" s="12"/>
    </row>
    <row r="24" spans="1:23" ht="33.950000000000003" customHeight="1" x14ac:dyDescent="0.2">
      <c r="A24" s="12"/>
      <c r="B24" s="371" t="s">
        <v>152</v>
      </c>
      <c r="C24" s="383" t="s">
        <v>214</v>
      </c>
      <c r="D24" s="384" t="str">
        <f>al_marathon</f>
        <v>03:42</v>
      </c>
      <c r="E24" s="374">
        <f>Puls</f>
        <v>162.85</v>
      </c>
      <c r="F24" s="371" t="s">
        <v>152</v>
      </c>
      <c r="G24" s="383" t="s">
        <v>215</v>
      </c>
      <c r="H24" s="384" t="str">
        <f>al_marathon</f>
        <v>03:42</v>
      </c>
      <c r="I24" s="374">
        <f>Puls</f>
        <v>162.85</v>
      </c>
      <c r="J24" s="371" t="s">
        <v>152</v>
      </c>
      <c r="K24" s="377" t="s">
        <v>176</v>
      </c>
      <c r="L24" s="378" t="str">
        <f>al_marathon</f>
        <v>03:42</v>
      </c>
      <c r="M24" s="379">
        <f>Puls</f>
        <v>162.85</v>
      </c>
      <c r="N24" s="371" t="s">
        <v>152</v>
      </c>
      <c r="O24" s="383" t="s">
        <v>216</v>
      </c>
      <c r="P24" s="384" t="str">
        <f>al_marathon</f>
        <v>03:42</v>
      </c>
      <c r="Q24" s="375">
        <f>Puls</f>
        <v>162.85</v>
      </c>
      <c r="R24" s="12"/>
      <c r="S24" s="12"/>
      <c r="T24" s="12"/>
      <c r="U24" s="12"/>
      <c r="V24" s="12"/>
      <c r="W24" s="12"/>
    </row>
    <row r="25" spans="1:23" ht="24.75" customHeight="1" x14ac:dyDescent="0.2">
      <c r="A25" s="12"/>
      <c r="B25" s="12"/>
      <c r="C25" s="323"/>
      <c r="D25" s="12"/>
      <c r="E25" s="324"/>
      <c r="F25" s="12"/>
      <c r="G25" s="323"/>
      <c r="H25" s="12"/>
      <c r="I25" s="324"/>
      <c r="J25" s="12"/>
      <c r="K25" s="323"/>
      <c r="L25" s="12"/>
      <c r="M25" s="324"/>
      <c r="N25" s="12"/>
      <c r="O25" s="323"/>
      <c r="P25" s="12"/>
      <c r="Q25" s="324"/>
      <c r="R25" s="12"/>
      <c r="S25" s="12"/>
      <c r="T25" s="12"/>
      <c r="U25" s="12"/>
      <c r="V25" s="12"/>
      <c r="W25" s="12"/>
    </row>
    <row r="26" spans="1:23" ht="24.75" customHeight="1" x14ac:dyDescent="0.2">
      <c r="A26" s="12"/>
      <c r="B26" s="157" t="s">
        <v>156</v>
      </c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2"/>
      <c r="S26" s="12"/>
      <c r="T26" s="12"/>
      <c r="U26" s="12"/>
      <c r="V26" s="12"/>
      <c r="W26" s="12"/>
    </row>
    <row r="27" spans="1:23" s="24" customFormat="1" ht="9" customHeight="1" x14ac:dyDescent="0.2">
      <c r="A27" s="296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296"/>
      <c r="S27" s="296"/>
      <c r="T27" s="296"/>
      <c r="U27" s="296"/>
      <c r="V27" s="296"/>
      <c r="W27" s="296"/>
    </row>
    <row r="28" spans="1:23" ht="33.950000000000003" customHeight="1" thickBot="1" x14ac:dyDescent="0.25">
      <c r="A28" s="12"/>
      <c r="B28" s="80"/>
      <c r="C28" s="81" t="str">
        <f>"semaine du "&amp;TEXT(mdate-27,"jj/mm")&amp;" au "&amp;TEXT(mdate-21,"jj/mm")</f>
        <v>semaine du 06/10 au 12/10</v>
      </c>
      <c r="D28" s="82"/>
      <c r="E28" s="84"/>
      <c r="F28" s="80"/>
      <c r="G28" s="81" t="str">
        <f>"semaine du "&amp;TEXT(mdate-20,"jj/mm")&amp;" au "&amp;TEXT(mdate-14,"jj/mm")</f>
        <v>semaine du 13/10 au 19/10</v>
      </c>
      <c r="H28" s="82"/>
      <c r="I28" s="84"/>
      <c r="J28" s="80"/>
      <c r="K28" s="81" t="str">
        <f>"semaine du "&amp;TEXT(mdate-13,"jj/mm")&amp;" au "&amp;TEXT(mdate-7,"jj/mm")</f>
        <v>semaine du 20/10 au 26/10</v>
      </c>
      <c r="L28" s="85"/>
      <c r="M28" s="84"/>
      <c r="N28" s="80"/>
      <c r="O28" s="81" t="str">
        <f>"semaine du "&amp;TEXT(mdate-6,"jj/mm")&amp;" au "&amp;TEXT(mdate,"jj/mm")</f>
        <v>semaine du 27/10 au 02/11</v>
      </c>
      <c r="P28" s="85"/>
      <c r="Q28" s="83"/>
      <c r="R28" s="12"/>
      <c r="S28" s="12"/>
      <c r="T28" s="12"/>
      <c r="U28" s="12"/>
      <c r="V28" s="12"/>
      <c r="W28" s="12"/>
    </row>
    <row r="29" spans="1:23" ht="33.950000000000003" customHeight="1" x14ac:dyDescent="0.2">
      <c r="A29" s="12"/>
      <c r="B29" s="355" t="s">
        <v>155</v>
      </c>
      <c r="C29" s="356" t="s">
        <v>57</v>
      </c>
      <c r="D29" s="357"/>
      <c r="E29" s="358"/>
      <c r="F29" s="355" t="s">
        <v>155</v>
      </c>
      <c r="G29" s="356" t="s">
        <v>57</v>
      </c>
      <c r="H29" s="357"/>
      <c r="I29" s="358"/>
      <c r="J29" s="355" t="s">
        <v>155</v>
      </c>
      <c r="K29" s="356" t="s">
        <v>57</v>
      </c>
      <c r="L29" s="357"/>
      <c r="M29" s="358"/>
      <c r="N29" s="355" t="s">
        <v>155</v>
      </c>
      <c r="O29" s="356" t="s">
        <v>57</v>
      </c>
      <c r="P29" s="357"/>
      <c r="Q29" s="359"/>
      <c r="R29" s="12"/>
      <c r="S29" s="12"/>
      <c r="T29" s="339"/>
      <c r="U29" s="12"/>
      <c r="V29" s="12"/>
      <c r="W29" s="12"/>
    </row>
    <row r="30" spans="1:23" ht="33.950000000000003" customHeight="1" x14ac:dyDescent="0.2">
      <c r="A30" s="12"/>
      <c r="B30" s="360" t="s">
        <v>154</v>
      </c>
      <c r="C30" s="368" t="s">
        <v>57</v>
      </c>
      <c r="D30" s="365"/>
      <c r="E30" s="363"/>
      <c r="F30" s="360" t="s">
        <v>154</v>
      </c>
      <c r="G30" s="361" t="s">
        <v>17</v>
      </c>
      <c r="H30" s="362">
        <f>cat_km*133.5%</f>
        <v>0.18541666666666667</v>
      </c>
      <c r="I30" s="363">
        <f>(z_travail*75%)+fc_repos</f>
        <v>148.75</v>
      </c>
      <c r="J30" s="360" t="s">
        <v>154</v>
      </c>
      <c r="K30" s="364" t="s">
        <v>178</v>
      </c>
      <c r="L30" s="365">
        <f>cat_vitesse*60</f>
        <v>300</v>
      </c>
      <c r="M30" s="363">
        <f>fc_x</f>
        <v>169.9</v>
      </c>
      <c r="N30" s="360" t="s">
        <v>154</v>
      </c>
      <c r="O30" s="368" t="s">
        <v>57</v>
      </c>
      <c r="P30" s="365"/>
      <c r="Q30" s="367"/>
      <c r="R30" s="12"/>
      <c r="S30" s="12"/>
      <c r="T30" s="12"/>
      <c r="U30" s="12"/>
      <c r="V30" s="12"/>
      <c r="W30" s="12"/>
    </row>
    <row r="31" spans="1:23" ht="33.950000000000003" customHeight="1" x14ac:dyDescent="0.2">
      <c r="A31" s="12"/>
      <c r="B31" s="360" t="s">
        <v>149</v>
      </c>
      <c r="C31" s="366" t="s">
        <v>198</v>
      </c>
      <c r="D31" s="362">
        <f>((cat_km*95%)/1000)*300</f>
        <v>3.9583333333333338E-2</v>
      </c>
      <c r="E31" s="363">
        <f>fc_300</f>
        <v>179.77</v>
      </c>
      <c r="F31" s="360" t="s">
        <v>149</v>
      </c>
      <c r="G31" s="368" t="s">
        <v>57</v>
      </c>
      <c r="H31" s="369"/>
      <c r="I31" s="363"/>
      <c r="J31" s="360" t="s">
        <v>149</v>
      </c>
      <c r="K31" s="368" t="s">
        <v>57</v>
      </c>
      <c r="L31" s="369"/>
      <c r="M31" s="363"/>
      <c r="N31" s="360" t="s">
        <v>149</v>
      </c>
      <c r="O31" s="389" t="s">
        <v>184</v>
      </c>
      <c r="P31" s="362">
        <f>((cat_km*95%)/1000)*300</f>
        <v>3.9583333333333338E-2</v>
      </c>
      <c r="Q31" s="367">
        <f>fc_300</f>
        <v>179.77</v>
      </c>
      <c r="R31" s="12"/>
      <c r="S31" s="12"/>
      <c r="T31" s="12"/>
      <c r="U31" s="12"/>
      <c r="V31" s="12"/>
      <c r="W31" s="12"/>
    </row>
    <row r="32" spans="1:23" ht="33.950000000000003" customHeight="1" x14ac:dyDescent="0.2">
      <c r="A32" s="12"/>
      <c r="B32" s="360" t="s">
        <v>153</v>
      </c>
      <c r="C32" s="368" t="s">
        <v>57</v>
      </c>
      <c r="D32" s="369"/>
      <c r="E32" s="363"/>
      <c r="F32" s="360" t="s">
        <v>153</v>
      </c>
      <c r="G32" s="366" t="s">
        <v>197</v>
      </c>
      <c r="H32" s="362">
        <f>((cat_km*102%)/1000)*900</f>
        <v>0.12749999999999997</v>
      </c>
      <c r="I32" s="363">
        <f>fc_900</f>
        <v>171.31</v>
      </c>
      <c r="J32" s="360" t="s">
        <v>153</v>
      </c>
      <c r="K32" s="361" t="s">
        <v>17</v>
      </c>
      <c r="L32" s="362">
        <f>cat_km*133.5%</f>
        <v>0.18541666666666667</v>
      </c>
      <c r="M32" s="363">
        <f>(z_travail*75%)+fc_repos</f>
        <v>148.75</v>
      </c>
      <c r="N32" s="360" t="s">
        <v>153</v>
      </c>
      <c r="O32" s="368" t="s">
        <v>57</v>
      </c>
      <c r="P32" s="369"/>
      <c r="Q32" s="367"/>
      <c r="R32" s="12"/>
      <c r="S32" s="12"/>
      <c r="T32" s="12"/>
      <c r="U32" s="12"/>
      <c r="V32" s="12"/>
      <c r="W32" s="12"/>
    </row>
    <row r="33" spans="1:23" ht="33.950000000000003" customHeight="1" x14ac:dyDescent="0.2">
      <c r="A33" s="12"/>
      <c r="B33" s="360" t="s">
        <v>150</v>
      </c>
      <c r="C33" s="388" t="s">
        <v>183</v>
      </c>
      <c r="D33" s="362">
        <f>cat_km*143%</f>
        <v>0.1986111111111111</v>
      </c>
      <c r="E33" s="363">
        <f>(z_travail*70%)+fc_repos</f>
        <v>141.69999999999999</v>
      </c>
      <c r="F33" s="360" t="s">
        <v>150</v>
      </c>
      <c r="G33" s="368" t="s">
        <v>57</v>
      </c>
      <c r="H33" s="369"/>
      <c r="I33" s="363"/>
      <c r="J33" s="360" t="s">
        <v>150</v>
      </c>
      <c r="K33" s="368" t="s">
        <v>57</v>
      </c>
      <c r="L33" s="369"/>
      <c r="M33" s="363"/>
      <c r="N33" s="360" t="s">
        <v>150</v>
      </c>
      <c r="O33" s="368" t="s">
        <v>183</v>
      </c>
      <c r="P33" s="362">
        <f>cat_km*143%</f>
        <v>0.1986111111111111</v>
      </c>
      <c r="Q33" s="367">
        <f>(z_travail*70%)+fc_repos</f>
        <v>141.69999999999999</v>
      </c>
      <c r="R33" s="12"/>
      <c r="S33" s="12"/>
      <c r="T33" s="12"/>
      <c r="U33" s="12"/>
      <c r="V33" s="12"/>
      <c r="W33" s="12"/>
    </row>
    <row r="34" spans="1:23" ht="33.950000000000003" customHeight="1" x14ac:dyDescent="0.2">
      <c r="A34" s="12"/>
      <c r="B34" s="360" t="s">
        <v>151</v>
      </c>
      <c r="C34" s="368" t="s">
        <v>57</v>
      </c>
      <c r="D34" s="369"/>
      <c r="E34" s="363"/>
      <c r="F34" s="360" t="s">
        <v>151</v>
      </c>
      <c r="G34" s="368" t="s">
        <v>57</v>
      </c>
      <c r="H34" s="369"/>
      <c r="I34" s="363"/>
      <c r="J34" s="360" t="s">
        <v>151</v>
      </c>
      <c r="K34" s="368" t="s">
        <v>57</v>
      </c>
      <c r="L34" s="369"/>
      <c r="M34" s="363"/>
      <c r="N34" s="360" t="s">
        <v>151</v>
      </c>
      <c r="O34" s="368" t="s">
        <v>57</v>
      </c>
      <c r="P34" s="369"/>
      <c r="Q34" s="367"/>
      <c r="R34" s="12"/>
      <c r="S34" s="12"/>
      <c r="T34" s="12"/>
      <c r="U34" s="12"/>
      <c r="V34" s="12"/>
      <c r="W34" s="12"/>
    </row>
    <row r="35" spans="1:23" ht="33.950000000000003" customHeight="1" x14ac:dyDescent="0.2">
      <c r="A35" s="12"/>
      <c r="B35" s="371" t="s">
        <v>152</v>
      </c>
      <c r="C35" s="377" t="s">
        <v>189</v>
      </c>
      <c r="D35" s="378" t="str">
        <f>al_marathon</f>
        <v>03:42</v>
      </c>
      <c r="E35" s="390">
        <f>Puls</f>
        <v>162.85</v>
      </c>
      <c r="F35" s="371" t="s">
        <v>152</v>
      </c>
      <c r="G35" s="383" t="s">
        <v>218</v>
      </c>
      <c r="H35" s="384" t="str">
        <f>al_marathon</f>
        <v>03:42</v>
      </c>
      <c r="I35" s="374">
        <f>Puls</f>
        <v>162.85</v>
      </c>
      <c r="J35" s="371" t="s">
        <v>152</v>
      </c>
      <c r="K35" s="383" t="s">
        <v>217</v>
      </c>
      <c r="L35" s="384" t="str">
        <f>al_marathon</f>
        <v>03:42</v>
      </c>
      <c r="M35" s="374">
        <f>Puls</f>
        <v>162.85</v>
      </c>
      <c r="N35" s="371" t="s">
        <v>152</v>
      </c>
      <c r="O35" s="380" t="s">
        <v>175</v>
      </c>
      <c r="P35" s="381">
        <f>objectif</f>
        <v>2.5717592592592594E-2</v>
      </c>
      <c r="Q35" s="391">
        <f>Puls</f>
        <v>162.85</v>
      </c>
      <c r="R35" s="12"/>
      <c r="S35" s="12"/>
      <c r="T35" s="12"/>
      <c r="U35" s="12"/>
      <c r="V35" s="12"/>
      <c r="W35" s="12"/>
    </row>
    <row r="36" spans="1:23" ht="33.950000000000003" customHeight="1" x14ac:dyDescent="0.2">
      <c r="A36" s="12"/>
      <c r="B36" s="12"/>
      <c r="C36" s="323"/>
      <c r="D36" s="12"/>
      <c r="E36" s="324"/>
      <c r="F36" s="12"/>
      <c r="G36" s="323"/>
      <c r="H36" s="12"/>
      <c r="I36" s="324"/>
      <c r="J36" s="12"/>
      <c r="K36" s="323"/>
      <c r="L36" s="12"/>
      <c r="M36" s="324"/>
      <c r="N36" s="12"/>
      <c r="O36" s="323"/>
      <c r="P36" s="12"/>
      <c r="Q36" s="324"/>
      <c r="R36" s="12"/>
      <c r="S36" s="12"/>
      <c r="T36" s="12"/>
      <c r="U36" s="12"/>
      <c r="V36" s="12"/>
      <c r="W36" s="12"/>
    </row>
  </sheetData>
  <sheetProtection password="F7AF" sheet="1" objects="1" scenarios="1"/>
  <mergeCells count="4">
    <mergeCell ref="B2:S2"/>
    <mergeCell ref="B26:Q26"/>
    <mergeCell ref="B15:Q15"/>
    <mergeCell ref="B4:Q4"/>
  </mergeCells>
  <phoneticPr fontId="0" type="noConversion"/>
  <printOptions horizontalCentered="1" verticalCentered="1"/>
  <pageMargins left="0.19685039370078741" right="0.19685039370078741" top="0.59055118110236227" bottom="0.59055118110236227" header="0.51181102362204722" footer="0.51181102362204722"/>
  <pageSetup paperSize="9" firstPageNumber="0" orientation="landscape" horizontalDpi="300" verticalDpi="300" r:id="rId1"/>
  <headerFooter alignWithMargins="0"/>
  <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5"/>
  </sheetPr>
  <dimension ref="B2:S35"/>
  <sheetViews>
    <sheetView showGridLines="0" workbookViewId="0">
      <selection activeCell="J24" sqref="J24"/>
    </sheetView>
  </sheetViews>
  <sheetFormatPr baseColWidth="10" defaultRowHeight="12.75" x14ac:dyDescent="0.2"/>
  <cols>
    <col min="1" max="1" width="4.85546875" customWidth="1"/>
    <col min="2" max="2" width="14.5703125" bestFit="1" customWidth="1"/>
    <col min="3" max="3" width="29.140625" bestFit="1" customWidth="1"/>
    <col min="4" max="5" width="18.42578125" bestFit="1" customWidth="1"/>
  </cols>
  <sheetData>
    <row r="2" spans="2:19" s="23" customFormat="1" ht="36" customHeight="1" x14ac:dyDescent="0.5">
      <c r="B2" s="156" t="s">
        <v>266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</row>
    <row r="7" spans="2:19" ht="18" customHeight="1" x14ac:dyDescent="0.2">
      <c r="B7" s="187" t="s">
        <v>67</v>
      </c>
      <c r="C7" s="187"/>
      <c r="D7" s="187"/>
      <c r="E7" s="187"/>
      <c r="F7" s="187"/>
      <c r="G7" s="187"/>
    </row>
    <row r="8" spans="2:19" s="24" customFormat="1" ht="9" customHeight="1" x14ac:dyDescent="0.2">
      <c r="B8" s="86"/>
      <c r="C8" s="86"/>
      <c r="D8" s="86"/>
      <c r="E8" s="86"/>
      <c r="F8" s="86"/>
      <c r="G8" s="86"/>
    </row>
    <row r="9" spans="2:19" ht="14.25" customHeight="1" x14ac:dyDescent="0.2">
      <c r="B9" s="105"/>
      <c r="C9" s="87"/>
      <c r="D9" s="185" t="s">
        <v>270</v>
      </c>
      <c r="E9" s="185"/>
      <c r="F9" s="185" t="s">
        <v>68</v>
      </c>
      <c r="G9" s="186"/>
    </row>
    <row r="10" spans="2:19" x14ac:dyDescent="0.2">
      <c r="B10" s="106" t="s">
        <v>70</v>
      </c>
      <c r="C10" s="88">
        <f>fc_repos</f>
        <v>43</v>
      </c>
      <c r="D10" s="89" t="s">
        <v>71</v>
      </c>
      <c r="E10" s="90">
        <f>100/(v_vma+(0.5*0.9))</f>
        <v>222.22222222222223</v>
      </c>
      <c r="F10" s="89" t="s">
        <v>72</v>
      </c>
      <c r="G10" s="91">
        <v>3.4722222222222224E-4</v>
      </c>
    </row>
    <row r="11" spans="2:19" x14ac:dyDescent="0.2">
      <c r="B11" s="106" t="s">
        <v>75</v>
      </c>
      <c r="C11" s="88">
        <f>fc_repos+(z_travail*((100-(200/dist_vma_min))/100))</f>
        <v>181.18</v>
      </c>
      <c r="D11" s="89" t="s">
        <v>76</v>
      </c>
      <c r="E11" s="90">
        <f>200/(v_vma+(0.5*0.8))</f>
        <v>500</v>
      </c>
      <c r="F11" s="89" t="s">
        <v>77</v>
      </c>
      <c r="G11" s="91">
        <v>4.0509259259259258E-4</v>
      </c>
    </row>
    <row r="12" spans="2:19" x14ac:dyDescent="0.2">
      <c r="B12" s="106" t="s">
        <v>127</v>
      </c>
      <c r="C12" s="88">
        <f>fc_repos+(z_travail*((100-(300/dist_vma_min))/100))</f>
        <v>179.77</v>
      </c>
      <c r="D12" s="89" t="s">
        <v>79</v>
      </c>
      <c r="E12" s="90">
        <f>300/(v_vma+(0.5*0.7))</f>
        <v>857.14285714285722</v>
      </c>
      <c r="F12" s="89" t="s">
        <v>80</v>
      </c>
      <c r="G12" s="91">
        <v>5.7870370370370378E-4</v>
      </c>
    </row>
    <row r="13" spans="2:19" x14ac:dyDescent="0.2">
      <c r="B13" s="106" t="s">
        <v>78</v>
      </c>
      <c r="C13" s="88">
        <f>fc_repos+(z_travail*((100-(400/dist_vma_min))/100))</f>
        <v>178.35999999999999</v>
      </c>
      <c r="D13" s="89" t="s">
        <v>83</v>
      </c>
      <c r="E13" s="90">
        <f>400/(v_vma+(0.5*0.6))</f>
        <v>1333.3333333333335</v>
      </c>
      <c r="F13" s="89" t="s">
        <v>84</v>
      </c>
      <c r="G13" s="91">
        <v>6.9444444444444447E-4</v>
      </c>
    </row>
    <row r="14" spans="2:19" x14ac:dyDescent="0.2">
      <c r="B14" s="106" t="s">
        <v>82</v>
      </c>
      <c r="C14" s="88">
        <f>fc_repos+(z_travail*((100-(500/dist_vma_min))/100))</f>
        <v>176.95</v>
      </c>
      <c r="D14" s="89" t="s">
        <v>86</v>
      </c>
      <c r="E14" s="90">
        <f>500/(v_vma+(0.5*0.5))</f>
        <v>2000</v>
      </c>
      <c r="F14" s="89" t="s">
        <v>87</v>
      </c>
      <c r="G14" s="91">
        <v>6.9444444444444447E-4</v>
      </c>
    </row>
    <row r="15" spans="2:19" x14ac:dyDescent="0.2">
      <c r="B15" s="106" t="s">
        <v>128</v>
      </c>
      <c r="C15" s="88">
        <f>fc_repos+(z_travail*((100-(800/dist_vma_min))/100))</f>
        <v>172.72</v>
      </c>
      <c r="D15" s="89" t="s">
        <v>90</v>
      </c>
      <c r="E15" s="90" t="e">
        <f>1000/v_vma</f>
        <v>#DIV/0!</v>
      </c>
      <c r="F15" s="89" t="s">
        <v>91</v>
      </c>
      <c r="G15" s="91">
        <v>1.0416666666666667E-3</v>
      </c>
    </row>
    <row r="16" spans="2:19" x14ac:dyDescent="0.2">
      <c r="B16" s="106" t="s">
        <v>129</v>
      </c>
      <c r="C16" s="88">
        <f>fc_repos+(z_travail*((100-(1200/dist_vma_min))/100))</f>
        <v>167.07999999999998</v>
      </c>
      <c r="D16" s="89" t="s">
        <v>242</v>
      </c>
      <c r="E16" s="92">
        <f>fc_repos+(z_travail*k_vma*k_marat)*rapport</f>
        <v>154.68316831683171</v>
      </c>
      <c r="F16" s="89"/>
      <c r="G16" s="91"/>
    </row>
    <row r="17" spans="2:7" x14ac:dyDescent="0.2">
      <c r="B17" s="106" t="s">
        <v>85</v>
      </c>
      <c r="C17" s="88">
        <f>fc_repos+(z_travail*k_vma*k_semi)</f>
        <v>145.9864</v>
      </c>
      <c r="D17" s="89" t="s">
        <v>243</v>
      </c>
      <c r="E17" s="88"/>
      <c r="F17" s="93"/>
      <c r="G17" s="94"/>
    </row>
    <row r="18" spans="2:7" x14ac:dyDescent="0.2">
      <c r="B18" s="106" t="s">
        <v>89</v>
      </c>
      <c r="C18" s="88">
        <f>fc_max-fc_repos</f>
        <v>141</v>
      </c>
      <c r="D18" s="89" t="s">
        <v>244</v>
      </c>
      <c r="E18" s="95">
        <f>t_th_marathon/objectif</f>
        <v>1.0001000100010002</v>
      </c>
      <c r="F18" s="93"/>
      <c r="G18" s="94"/>
    </row>
    <row r="19" spans="2:7" x14ac:dyDescent="0.2">
      <c r="B19" s="106" t="s">
        <v>248</v>
      </c>
      <c r="C19" s="88">
        <f>fc_repos+(z_travail*((100-(150/dist_vma_min))/100))</f>
        <v>181.88499999999999</v>
      </c>
      <c r="D19" s="89" t="s">
        <v>93</v>
      </c>
      <c r="E19" s="96">
        <f>seuil*3</f>
        <v>7.8906250000000001E-3</v>
      </c>
      <c r="F19" s="89"/>
      <c r="G19" s="94"/>
    </row>
    <row r="20" spans="2:7" x14ac:dyDescent="0.2">
      <c r="B20" s="106" t="s">
        <v>92</v>
      </c>
      <c r="C20" s="95">
        <f>IF(D_test=2000,0.88,0.9)</f>
        <v>0.88</v>
      </c>
      <c r="D20" s="89" t="s">
        <v>96</v>
      </c>
      <c r="E20" s="96">
        <f>seuil*4</f>
        <v>1.0520833333333333E-2</v>
      </c>
      <c r="F20" s="89"/>
      <c r="G20" s="94"/>
    </row>
    <row r="21" spans="2:7" x14ac:dyDescent="0.2">
      <c r="B21" s="106" t="s">
        <v>95</v>
      </c>
      <c r="C21" s="95">
        <f>IF(D_test=2000,0.88,0.9)</f>
        <v>0.88</v>
      </c>
      <c r="D21" s="89" t="s">
        <v>99</v>
      </c>
      <c r="E21" s="90" t="e">
        <f>dist_vma/(v_vma+(0.5*((1000-dist_vma)/1000)))</f>
        <v>#DIV/0!</v>
      </c>
      <c r="F21" s="89"/>
      <c r="G21" s="94"/>
    </row>
    <row r="22" spans="2:7" x14ac:dyDescent="0.2">
      <c r="B22" s="106" t="s">
        <v>98</v>
      </c>
      <c r="C22" s="95">
        <f>IF(D_test=2000,0.78,0.8)</f>
        <v>0.78</v>
      </c>
      <c r="D22" s="89" t="s">
        <v>250</v>
      </c>
      <c r="E22" s="88">
        <f>fc_repos+(z_travail*((100-(900/dist_vma_min))/100))</f>
        <v>171.31</v>
      </c>
      <c r="F22" s="89"/>
      <c r="G22" s="94"/>
    </row>
    <row r="23" spans="2:7" x14ac:dyDescent="0.2">
      <c r="B23" s="106" t="s">
        <v>249</v>
      </c>
      <c r="C23" s="88">
        <f>fc_repos+(z_travail*((100-(1000/dist_vma_min))/100))</f>
        <v>169.9</v>
      </c>
      <c r="D23" s="89" t="s">
        <v>102</v>
      </c>
      <c r="E23" s="88">
        <f>fc_repos+(z_travail*((100-(dist_vma/dist_vma_min))/100))</f>
        <v>169.9</v>
      </c>
      <c r="F23" s="89"/>
      <c r="G23" s="94"/>
    </row>
    <row r="24" spans="2:7" x14ac:dyDescent="0.2">
      <c r="B24" s="106" t="s">
        <v>101</v>
      </c>
      <c r="C24" s="95">
        <v>0.7</v>
      </c>
      <c r="D24" s="89" t="s">
        <v>104</v>
      </c>
      <c r="E24" s="88">
        <f>fc_repos+(z_travail*((100-(100/dist_vma_min))/100))</f>
        <v>182.59</v>
      </c>
      <c r="F24" s="93"/>
      <c r="G24" s="94"/>
    </row>
    <row r="25" spans="2:7" x14ac:dyDescent="0.2">
      <c r="B25" s="106" t="s">
        <v>103</v>
      </c>
      <c r="C25" s="95">
        <v>0.9</v>
      </c>
      <c r="D25" s="89" t="s">
        <v>106</v>
      </c>
      <c r="E25" s="97">
        <f>vma_obj_km*10/k_10</f>
        <v>1.6339869281045751</v>
      </c>
      <c r="F25" s="93"/>
      <c r="G25" s="94"/>
    </row>
    <row r="26" spans="2:7" x14ac:dyDescent="0.2">
      <c r="B26" s="106" t="s">
        <v>105</v>
      </c>
      <c r="C26" s="95">
        <f>IF(D_test=2000,0.83,0.85)</f>
        <v>0.83</v>
      </c>
      <c r="D26" s="89" t="s">
        <v>109</v>
      </c>
      <c r="E26" s="97">
        <f>vma_obj_km/k_semi*dist_semi</f>
        <v>0.83668005354752362</v>
      </c>
      <c r="F26" s="93"/>
      <c r="G26" s="94"/>
    </row>
    <row r="27" spans="2:7" x14ac:dyDescent="0.2">
      <c r="B27" s="106" t="s">
        <v>108</v>
      </c>
      <c r="C27" s="95">
        <f>IF(D_test=2000,0.85,0.85)</f>
        <v>0.85</v>
      </c>
      <c r="D27" s="89" t="s">
        <v>111</v>
      </c>
      <c r="E27" s="97">
        <f>vma_obj_km/k_semi</f>
        <v>0.16733601070950471</v>
      </c>
      <c r="F27" s="93"/>
      <c r="G27" s="94"/>
    </row>
    <row r="28" spans="2:7" x14ac:dyDescent="0.2">
      <c r="B28" s="106" t="s">
        <v>110</v>
      </c>
      <c r="C28" s="95">
        <f>IF(D_test=2000,3.55,3.7)</f>
        <v>3.55</v>
      </c>
      <c r="D28" s="89" t="s">
        <v>113</v>
      </c>
      <c r="E28" s="97"/>
      <c r="F28" s="93"/>
      <c r="G28" s="94"/>
    </row>
    <row r="29" spans="2:7" x14ac:dyDescent="0.2">
      <c r="B29" s="106" t="s">
        <v>112</v>
      </c>
      <c r="C29" s="88">
        <v>100</v>
      </c>
      <c r="D29" s="89" t="s">
        <v>37</v>
      </c>
      <c r="E29" s="97">
        <f>(objectif/dist_marathon)*k_marat/k_anaero</f>
        <v>2.6302083333333334E-3</v>
      </c>
      <c r="F29" s="93"/>
      <c r="G29" s="94"/>
    </row>
    <row r="30" spans="2:7" x14ac:dyDescent="0.2">
      <c r="B30" s="106" t="s">
        <v>114</v>
      </c>
      <c r="C30" s="98">
        <v>10</v>
      </c>
      <c r="D30" s="99" t="s">
        <v>246</v>
      </c>
      <c r="E30" s="99">
        <f>fc_max-fc_repos</f>
        <v>141</v>
      </c>
      <c r="F30" s="93"/>
      <c r="G30" s="94"/>
    </row>
    <row r="31" spans="2:7" x14ac:dyDescent="0.2">
      <c r="B31" s="106" t="s">
        <v>62</v>
      </c>
      <c r="C31" s="98">
        <f>dist_marathon/2</f>
        <v>5</v>
      </c>
      <c r="D31" s="99" t="s">
        <v>247</v>
      </c>
      <c r="E31" s="100">
        <f>(z_travail*85%)+fc_repos</f>
        <v>162.85</v>
      </c>
      <c r="F31" s="93"/>
      <c r="G31" s="94"/>
    </row>
    <row r="32" spans="2:7" x14ac:dyDescent="0.2">
      <c r="B32" s="106" t="s">
        <v>63</v>
      </c>
      <c r="C32" s="88">
        <f>IF(Etalonnage!C10=2000,2,1.5)</f>
        <v>2</v>
      </c>
      <c r="D32" s="99"/>
      <c r="E32" s="93"/>
      <c r="F32" s="93"/>
      <c r="G32" s="94"/>
    </row>
    <row r="33" spans="2:8" x14ac:dyDescent="0.2">
      <c r="B33" s="107" t="s">
        <v>64</v>
      </c>
      <c r="C33" s="101">
        <f>IF(D_test=2000,0.87,0.89)</f>
        <v>0.87</v>
      </c>
      <c r="D33" s="102"/>
      <c r="E33" s="103"/>
      <c r="F33" s="102"/>
      <c r="G33" s="104"/>
      <c r="H33" s="2"/>
    </row>
    <row r="34" spans="2:8" x14ac:dyDescent="0.2">
      <c r="B34" s="2"/>
      <c r="C34" s="2"/>
    </row>
    <row r="35" spans="2:8" ht="16.5" customHeight="1" x14ac:dyDescent="0.2">
      <c r="B35" s="184"/>
      <c r="C35" s="184"/>
      <c r="D35" s="184"/>
      <c r="E35" s="184"/>
      <c r="F35" s="184"/>
      <c r="G35" s="184"/>
    </row>
  </sheetData>
  <sheetProtection password="F7AF" sheet="1" objects="1" scenarios="1"/>
  <mergeCells count="5">
    <mergeCell ref="B35:G35"/>
    <mergeCell ref="F9:G9"/>
    <mergeCell ref="D9:E9"/>
    <mergeCell ref="B7:G7"/>
    <mergeCell ref="B2:S2"/>
  </mergeCells>
  <phoneticPr fontId="0" type="noConversion"/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horizontalDpi="4294967293" verticalDpi="0" r:id="rId1"/>
  <headerFooter alignWithMargins="0"/>
  <drawing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36"/>
  </sheetPr>
  <dimension ref="A2:S40"/>
  <sheetViews>
    <sheetView showGridLines="0" workbookViewId="0">
      <selection activeCell="O32" sqref="O32"/>
    </sheetView>
  </sheetViews>
  <sheetFormatPr baseColWidth="10" defaultColWidth="12.42578125" defaultRowHeight="12.75" x14ac:dyDescent="0.2"/>
  <cols>
    <col min="2" max="2" width="16.85546875" customWidth="1"/>
    <col min="3" max="5" width="8.140625" bestFit="1" customWidth="1"/>
    <col min="6" max="6" width="8.85546875" bestFit="1" customWidth="1"/>
    <col min="7" max="7" width="9.42578125" bestFit="1" customWidth="1"/>
    <col min="8" max="10" width="8.140625" bestFit="1" customWidth="1"/>
    <col min="11" max="11" width="12.42578125" customWidth="1"/>
  </cols>
  <sheetData>
    <row r="2" spans="2:19" s="23" customFormat="1" ht="36" customHeight="1" x14ac:dyDescent="0.5">
      <c r="B2" s="156" t="s">
        <v>266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</row>
    <row r="7" spans="2:19" ht="18" x14ac:dyDescent="0.25">
      <c r="B7" s="200" t="s">
        <v>271</v>
      </c>
      <c r="C7" s="200"/>
      <c r="D7" s="109">
        <v>20</v>
      </c>
      <c r="E7" s="108" t="s">
        <v>20</v>
      </c>
      <c r="F7" s="13"/>
      <c r="G7" s="1"/>
      <c r="H7" s="1"/>
      <c r="I7" s="1"/>
      <c r="J7" s="1"/>
      <c r="K7" s="1"/>
    </row>
    <row r="8" spans="2:19" ht="15.75" x14ac:dyDescent="0.25">
      <c r="B8" s="13"/>
      <c r="C8" s="17"/>
      <c r="D8" s="18"/>
      <c r="E8" s="19"/>
      <c r="F8" s="13"/>
      <c r="G8" s="13"/>
      <c r="H8" s="13"/>
      <c r="I8" s="13"/>
      <c r="J8" s="13"/>
      <c r="K8" s="13"/>
    </row>
    <row r="9" spans="2:19" ht="14.25" x14ac:dyDescent="0.2">
      <c r="B9" s="119"/>
      <c r="C9" s="201" t="s">
        <v>21</v>
      </c>
      <c r="D9" s="202"/>
      <c r="E9" s="202"/>
      <c r="F9" s="202"/>
      <c r="G9" s="202"/>
      <c r="H9" s="202"/>
      <c r="I9" s="202"/>
      <c r="J9" s="202"/>
      <c r="K9" s="203"/>
    </row>
    <row r="10" spans="2:19" ht="14.25" x14ac:dyDescent="0.2">
      <c r="B10" s="120" t="s">
        <v>22</v>
      </c>
      <c r="C10" s="204" t="s">
        <v>23</v>
      </c>
      <c r="D10" s="205"/>
      <c r="E10" s="205"/>
      <c r="F10" s="205"/>
      <c r="G10" s="205"/>
      <c r="H10" s="205"/>
      <c r="I10" s="205"/>
      <c r="J10" s="205"/>
      <c r="K10" s="206"/>
    </row>
    <row r="11" spans="2:19" ht="14.25" x14ac:dyDescent="0.2">
      <c r="B11" s="118" t="s">
        <v>24</v>
      </c>
      <c r="C11" s="110">
        <v>100</v>
      </c>
      <c r="D11" s="111">
        <v>200</v>
      </c>
      <c r="E11" s="111">
        <v>400</v>
      </c>
      <c r="F11" s="111">
        <v>600</v>
      </c>
      <c r="G11" s="111">
        <v>800</v>
      </c>
      <c r="H11" s="111">
        <v>1000</v>
      </c>
      <c r="I11" s="111">
        <v>1500</v>
      </c>
      <c r="J11" s="111">
        <v>2000</v>
      </c>
      <c r="K11" s="112">
        <v>3000</v>
      </c>
    </row>
    <row r="12" spans="2:19" ht="14.25" x14ac:dyDescent="0.2">
      <c r="B12" s="121">
        <v>85</v>
      </c>
      <c r="C12" s="113">
        <f>((100*0.04167)/(D7*10*B12))</f>
        <v>2.4511764705882351E-4</v>
      </c>
      <c r="D12" s="114">
        <f>((200*0.04167)/(D7*10*B12))</f>
        <v>4.9023529411764701E-4</v>
      </c>
      <c r="E12" s="114">
        <f>((400*0.04167)/(D7*10*B12))</f>
        <v>9.8047058823529402E-4</v>
      </c>
      <c r="F12" s="114">
        <f>((600*0.04167)/(D7*10*B12))</f>
        <v>1.470705882352941E-3</v>
      </c>
      <c r="G12" s="114">
        <f>((800*0.04167)/(D7*10*B12))</f>
        <v>1.960941176470588E-3</v>
      </c>
      <c r="H12" s="114">
        <f>((1000*0.04167)/(D7*10*B12))</f>
        <v>2.4511764705882353E-3</v>
      </c>
      <c r="I12" s="114">
        <f>((1500*0.04167)/(D7*10*B12))</f>
        <v>3.6767647058823525E-3</v>
      </c>
      <c r="J12" s="114">
        <f>((2000*0.04167)/(D7*10*B12))</f>
        <v>4.9023529411764705E-3</v>
      </c>
      <c r="K12" s="115">
        <f>((3000*0.04167)/(D7*10*B12))</f>
        <v>7.3535294117647049E-3</v>
      </c>
    </row>
    <row r="13" spans="2:19" ht="14.25" x14ac:dyDescent="0.2">
      <c r="B13" s="121">
        <v>90</v>
      </c>
      <c r="C13" s="113">
        <f>((100*0.04167)/(D7*10*B13))</f>
        <v>2.3149999999999999E-4</v>
      </c>
      <c r="D13" s="114">
        <f>((200*0.04167)/(D7*10*B13))</f>
        <v>4.6299999999999998E-4</v>
      </c>
      <c r="E13" s="114">
        <f>((400*0.04167)/(D7*10*B13))</f>
        <v>9.2599999999999996E-4</v>
      </c>
      <c r="F13" s="114">
        <f>((600*0.04167)/(D7*10*B13))</f>
        <v>1.389E-3</v>
      </c>
      <c r="G13" s="114">
        <f>((800*0.04167)/(D7*10*B13))</f>
        <v>1.8519999999999999E-3</v>
      </c>
      <c r="H13" s="114">
        <f>((1000*0.04167)/(D7*10*B13))</f>
        <v>2.3150000000000002E-3</v>
      </c>
      <c r="I13" s="114">
        <f>((1500*0.04167)/(D7*10*B13))</f>
        <v>3.4724999999999999E-3</v>
      </c>
      <c r="J13" s="114">
        <f>((2000*0.04167)/(D7*10*B13))</f>
        <v>4.6300000000000004E-3</v>
      </c>
      <c r="K13" s="115">
        <f>((3000*0.04167)/(D7*10*B13))</f>
        <v>6.9449999999999998E-3</v>
      </c>
    </row>
    <row r="14" spans="2:19" ht="14.25" x14ac:dyDescent="0.2">
      <c r="B14" s="121">
        <v>95</v>
      </c>
      <c r="C14" s="113">
        <f>((100*0.04167)/(D7*10*B14))</f>
        <v>2.1931578947368419E-4</v>
      </c>
      <c r="D14" s="114">
        <f>((200*0.04167)/(D7*10*B14))</f>
        <v>4.3863157894736838E-4</v>
      </c>
      <c r="E14" s="114">
        <f>((400*0.04167)/(D7*10*B14))</f>
        <v>8.7726315789473676E-4</v>
      </c>
      <c r="F14" s="114">
        <f>((600*0.04167)/(D7*10*B14))</f>
        <v>1.3158947368421053E-3</v>
      </c>
      <c r="G14" s="114">
        <f>((800*0.04167)/(D7*10*B14))</f>
        <v>1.7545263157894735E-3</v>
      </c>
      <c r="H14" s="114">
        <f>((1000*0.04167)/(D7*10*B14))</f>
        <v>2.1931578947368422E-3</v>
      </c>
      <c r="I14" s="114">
        <f>((1500*0.04167)/(D7*10*B14))</f>
        <v>3.2897368421052628E-3</v>
      </c>
      <c r="J14" s="114">
        <f>((2000*0.04167)/(D7*10*B14))</f>
        <v>4.3863157894736843E-3</v>
      </c>
      <c r="K14" s="115">
        <f>((3000*0.04167)/(D7*10*B14))</f>
        <v>6.5794736842105257E-3</v>
      </c>
    </row>
    <row r="15" spans="2:19" ht="14.25" x14ac:dyDescent="0.2">
      <c r="B15" s="121">
        <v>100</v>
      </c>
      <c r="C15" s="113">
        <f>((100*0.04167)/(D7*10*B15))</f>
        <v>2.0835E-4</v>
      </c>
      <c r="D15" s="114">
        <f>((200*0.04167)/(D7*10*B15))</f>
        <v>4.1669999999999999E-4</v>
      </c>
      <c r="E15" s="114">
        <f>((400*0.04167)/(D7*10*B15))</f>
        <v>8.3339999999999998E-4</v>
      </c>
      <c r="F15" s="114">
        <f>((600*0.04167)/(D7*10*B15))</f>
        <v>1.2500999999999999E-3</v>
      </c>
      <c r="G15" s="114">
        <f>((800*0.04167)/(D7*10*B15))</f>
        <v>1.6668E-3</v>
      </c>
      <c r="H15" s="114">
        <f>((1000*0.04167)/(D7*10*B15))</f>
        <v>2.0835000000000003E-3</v>
      </c>
      <c r="I15" s="114">
        <f>((1500*0.04167)/(D7*10*B15))</f>
        <v>3.1252499999999996E-3</v>
      </c>
      <c r="J15" s="114">
        <f>((2000*0.04167)/(D7*10*B15))</f>
        <v>4.1670000000000006E-3</v>
      </c>
      <c r="K15" s="115">
        <f>((3000*0.04167)/(D7*10*B15))</f>
        <v>6.2504999999999991E-3</v>
      </c>
      <c r="M15" s="73"/>
    </row>
    <row r="16" spans="2:19" ht="14.25" x14ac:dyDescent="0.2">
      <c r="B16" s="121">
        <v>105</v>
      </c>
      <c r="C16" s="113">
        <f>((100*0.04167)/(D7*10*B16))</f>
        <v>1.9842857142857143E-4</v>
      </c>
      <c r="D16" s="114">
        <f>((200*0.04167)/(D7*10*B16))</f>
        <v>3.9685714285714286E-4</v>
      </c>
      <c r="E16" s="114">
        <f>((400*0.04167)/(D7*10*B16))</f>
        <v>7.9371428571428572E-4</v>
      </c>
      <c r="F16" s="114">
        <f>((600*0.04167)/(D7*10*B16))</f>
        <v>1.1905714285714284E-3</v>
      </c>
      <c r="G16" s="114">
        <f>((800*0.04167)/(D7*10*B16))</f>
        <v>1.5874285714285714E-3</v>
      </c>
      <c r="H16" s="114">
        <f>((1000*0.04167)/(D7*10*B16))</f>
        <v>1.9842857142857145E-3</v>
      </c>
      <c r="I16" s="114">
        <f>((1500*0.04167)/(D7*10*B16))</f>
        <v>2.9764285714285713E-3</v>
      </c>
      <c r="J16" s="114">
        <f>((2000*0.04167)/(D7*10*B16))</f>
        <v>3.9685714285714289E-3</v>
      </c>
      <c r="K16" s="115">
        <f>((3000*0.04167)/(D7*10*B16))</f>
        <v>5.9528571428571425E-3</v>
      </c>
    </row>
    <row r="17" spans="1:12" ht="14.25" x14ac:dyDescent="0.2">
      <c r="A17" s="123"/>
      <c r="B17" s="124">
        <v>110</v>
      </c>
      <c r="C17" s="122">
        <f>((100*0.04167)/(D7*10*B17))</f>
        <v>1.8940909090909091E-4</v>
      </c>
      <c r="D17" s="116">
        <f>((200*0.04167)/(D7*10*B17))</f>
        <v>3.7881818181818183E-4</v>
      </c>
      <c r="E17" s="116">
        <f>((400*0.04167)/(D7*10*B17))</f>
        <v>7.5763636363636365E-4</v>
      </c>
      <c r="F17" s="116">
        <f>((600*0.04167)/(D7*10*B17))</f>
        <v>1.1364545454545453E-3</v>
      </c>
      <c r="G17" s="116">
        <f>((800*0.04167)/(D7*10*B17))</f>
        <v>1.5152727272727273E-3</v>
      </c>
      <c r="H17" s="116">
        <f>((1000*0.04167)/(D7*10*B17))</f>
        <v>1.8940909090909091E-3</v>
      </c>
      <c r="I17" s="116">
        <f>((1500*0.04167)/(D7*10*B17))</f>
        <v>2.8411363636363634E-3</v>
      </c>
      <c r="J17" s="116">
        <f>((2000*0.04167)/(D7*10*B17))</f>
        <v>3.7881818181818181E-3</v>
      </c>
      <c r="K17" s="117">
        <f>((3000*0.04167)/(D7*10*B17))</f>
        <v>5.6822727272727268E-3</v>
      </c>
    </row>
    <row r="18" spans="1:12" s="1" customFormat="1" ht="15.75" x14ac:dyDescent="0.25">
      <c r="B18" s="13"/>
      <c r="C18" s="13"/>
      <c r="D18" s="13"/>
      <c r="E18" s="13"/>
      <c r="F18" s="13"/>
      <c r="G18" s="13"/>
      <c r="H18" s="13"/>
      <c r="I18" s="13"/>
      <c r="J18" s="13"/>
      <c r="K18" s="13"/>
    </row>
    <row r="19" spans="1:12" ht="15.75" x14ac:dyDescent="0.25">
      <c r="B19" s="125" t="s">
        <v>25</v>
      </c>
      <c r="C19" s="125"/>
      <c r="D19" s="126"/>
      <c r="E19" s="1"/>
      <c r="F19" s="1"/>
      <c r="G19" s="1"/>
      <c r="H19" s="1"/>
      <c r="I19" s="1"/>
      <c r="J19" s="1"/>
      <c r="K19" s="1"/>
    </row>
    <row r="20" spans="1:12" ht="15.75" x14ac:dyDescent="0.25">
      <c r="B20" s="127" t="s">
        <v>26</v>
      </c>
      <c r="C20" s="129">
        <v>75</v>
      </c>
      <c r="D20" s="27"/>
      <c r="E20" s="1"/>
      <c r="F20" s="13"/>
      <c r="G20" s="13"/>
      <c r="H20" s="1"/>
      <c r="I20" s="1"/>
      <c r="J20" s="1"/>
      <c r="K20" s="1"/>
    </row>
    <row r="21" spans="1:12" ht="15.75" x14ac:dyDescent="0.25">
      <c r="B21" s="127" t="s">
        <v>27</v>
      </c>
      <c r="C21" s="129">
        <v>1000</v>
      </c>
      <c r="D21" s="128" t="s">
        <v>28</v>
      </c>
      <c r="E21" s="13"/>
      <c r="F21" s="130" t="s">
        <v>29</v>
      </c>
      <c r="G21" s="131">
        <f>(C21*0.04167)/(D7*10*C20)</f>
        <v>2.7780000000000001E-3</v>
      </c>
      <c r="H21" s="13"/>
      <c r="I21" s="1"/>
      <c r="J21" s="1"/>
      <c r="K21" s="1"/>
    </row>
    <row r="22" spans="1:12" s="1" customFormat="1" ht="15.75" x14ac:dyDescent="0.25"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1:12" ht="13.5" customHeight="1" thickBot="1" x14ac:dyDescent="0.25">
      <c r="B23" s="207"/>
      <c r="C23" s="135" t="s">
        <v>30</v>
      </c>
      <c r="D23" s="209" t="s">
        <v>254</v>
      </c>
      <c r="E23" s="210"/>
      <c r="F23" s="213" t="s">
        <v>255</v>
      </c>
      <c r="G23" s="214"/>
      <c r="H23" s="215" t="s">
        <v>31</v>
      </c>
      <c r="I23" s="215"/>
      <c r="J23" s="216"/>
      <c r="K23" s="219" t="s">
        <v>2</v>
      </c>
    </row>
    <row r="24" spans="1:12" ht="14.25" customHeight="1" thickTop="1" x14ac:dyDescent="0.2">
      <c r="B24" s="208"/>
      <c r="C24" s="136" t="s">
        <v>256</v>
      </c>
      <c r="D24" s="211"/>
      <c r="E24" s="212"/>
      <c r="F24" s="221" t="s">
        <v>32</v>
      </c>
      <c r="G24" s="222"/>
      <c r="H24" s="217"/>
      <c r="I24" s="217"/>
      <c r="J24" s="218"/>
      <c r="K24" s="220"/>
    </row>
    <row r="25" spans="1:12" ht="13.5" customHeight="1" thickBot="1" x14ac:dyDescent="0.25">
      <c r="B25" s="188" t="s">
        <v>33</v>
      </c>
      <c r="C25" s="190" t="s">
        <v>257</v>
      </c>
      <c r="D25" s="192">
        <v>0.75</v>
      </c>
      <c r="E25" s="193"/>
      <c r="F25" s="196" t="s">
        <v>34</v>
      </c>
      <c r="G25" s="197"/>
      <c r="H25" s="223"/>
      <c r="I25" s="224"/>
      <c r="J25" s="225"/>
      <c r="K25" s="226" t="s">
        <v>35</v>
      </c>
    </row>
    <row r="26" spans="1:12" ht="13.5" customHeight="1" thickTop="1" x14ac:dyDescent="0.2">
      <c r="B26" s="189"/>
      <c r="C26" s="191"/>
      <c r="D26" s="194"/>
      <c r="E26" s="195"/>
      <c r="F26" s="198"/>
      <c r="G26" s="199"/>
      <c r="H26" s="132">
        <v>90</v>
      </c>
      <c r="I26" s="133">
        <v>1</v>
      </c>
      <c r="J26" s="152">
        <v>105</v>
      </c>
      <c r="K26" s="227"/>
    </row>
    <row r="27" spans="1:12" ht="14.25" x14ac:dyDescent="0.2">
      <c r="B27" s="137" t="s">
        <v>36</v>
      </c>
      <c r="C27" s="20"/>
      <c r="D27" s="228"/>
      <c r="E27" s="229"/>
      <c r="F27" s="230" t="s">
        <v>37</v>
      </c>
      <c r="G27" s="231"/>
      <c r="H27" s="232" t="s">
        <v>19</v>
      </c>
      <c r="I27" s="233"/>
      <c r="J27" s="234"/>
      <c r="K27" s="146"/>
    </row>
    <row r="28" spans="1:12" ht="42.75" x14ac:dyDescent="0.2">
      <c r="B28" s="138" t="s">
        <v>38</v>
      </c>
      <c r="C28" s="22">
        <v>0.7</v>
      </c>
      <c r="D28" s="235">
        <v>0.8</v>
      </c>
      <c r="E28" s="236"/>
      <c r="F28" s="237">
        <v>0.9</v>
      </c>
      <c r="G28" s="238"/>
      <c r="H28" s="239" t="s">
        <v>39</v>
      </c>
      <c r="I28" s="240"/>
      <c r="J28" s="241"/>
      <c r="K28" s="149"/>
    </row>
    <row r="29" spans="1:12" ht="13.5" customHeight="1" x14ac:dyDescent="0.2">
      <c r="B29" s="154" t="s">
        <v>40</v>
      </c>
      <c r="C29" s="21" t="s">
        <v>258</v>
      </c>
      <c r="D29" s="242" t="s">
        <v>41</v>
      </c>
      <c r="E29" s="243"/>
      <c r="F29" s="244" t="s">
        <v>42</v>
      </c>
      <c r="G29" s="245"/>
      <c r="H29" s="246" t="s">
        <v>43</v>
      </c>
      <c r="I29" s="247"/>
      <c r="J29" s="248"/>
      <c r="K29" s="145" t="s">
        <v>44</v>
      </c>
    </row>
    <row r="30" spans="1:12" ht="14.25" x14ac:dyDescent="0.2">
      <c r="B30" s="153" t="s">
        <v>45</v>
      </c>
      <c r="C30" s="142"/>
      <c r="D30" s="259"/>
      <c r="E30" s="260"/>
      <c r="F30" s="261"/>
      <c r="G30" s="262"/>
      <c r="H30" s="249"/>
      <c r="I30" s="249"/>
      <c r="J30" s="250"/>
      <c r="K30" s="150"/>
    </row>
    <row r="31" spans="1:12" ht="12.75" customHeight="1" x14ac:dyDescent="0.2">
      <c r="B31" s="251" t="s">
        <v>46</v>
      </c>
      <c r="C31" s="253" t="s">
        <v>259</v>
      </c>
      <c r="D31" s="228" t="s">
        <v>260</v>
      </c>
      <c r="E31" s="229"/>
      <c r="F31" s="196"/>
      <c r="G31" s="197"/>
      <c r="H31" s="257"/>
      <c r="I31" s="257"/>
      <c r="J31" s="258"/>
      <c r="K31" s="263" t="s">
        <v>47</v>
      </c>
    </row>
    <row r="32" spans="1:12" ht="12.75" customHeight="1" x14ac:dyDescent="0.2">
      <c r="B32" s="252"/>
      <c r="C32" s="254"/>
      <c r="D32" s="255"/>
      <c r="E32" s="256"/>
      <c r="F32" s="140" t="s">
        <v>261</v>
      </c>
      <c r="G32" s="144" t="s">
        <v>262</v>
      </c>
      <c r="H32" s="141" t="s">
        <v>264</v>
      </c>
      <c r="I32" s="141" t="s">
        <v>48</v>
      </c>
      <c r="J32" s="151" t="s">
        <v>49</v>
      </c>
      <c r="K32" s="264"/>
      <c r="L32" s="73"/>
    </row>
    <row r="33" spans="2:11" ht="12.75" customHeight="1" x14ac:dyDescent="0.2">
      <c r="B33" s="271" t="s">
        <v>50</v>
      </c>
      <c r="C33" s="190" t="s">
        <v>51</v>
      </c>
      <c r="D33" s="274"/>
      <c r="E33" s="275"/>
      <c r="F33" s="196" t="s">
        <v>52</v>
      </c>
      <c r="G33" s="197"/>
      <c r="H33" s="223" t="s">
        <v>53</v>
      </c>
      <c r="I33" s="224"/>
      <c r="J33" s="225"/>
      <c r="K33" s="226" t="s">
        <v>54</v>
      </c>
    </row>
    <row r="34" spans="2:11" ht="12.75" customHeight="1" x14ac:dyDescent="0.2">
      <c r="B34" s="272"/>
      <c r="C34" s="273"/>
      <c r="D34" s="134">
        <v>10</v>
      </c>
      <c r="E34" s="143">
        <v>11</v>
      </c>
      <c r="F34" s="244"/>
      <c r="G34" s="245"/>
      <c r="H34" s="246"/>
      <c r="I34" s="247"/>
      <c r="J34" s="248"/>
      <c r="K34" s="265"/>
    </row>
    <row r="35" spans="2:11" ht="13.5" customHeight="1" x14ac:dyDescent="0.2">
      <c r="B35" s="137"/>
      <c r="C35" s="20"/>
      <c r="D35" s="279"/>
      <c r="E35" s="280"/>
      <c r="F35" s="230"/>
      <c r="G35" s="231"/>
      <c r="H35" s="232"/>
      <c r="I35" s="233"/>
      <c r="J35" s="234"/>
      <c r="K35" s="146"/>
    </row>
    <row r="36" spans="2:11" ht="12.75" customHeight="1" x14ac:dyDescent="0.2">
      <c r="B36" s="281" t="s">
        <v>55</v>
      </c>
      <c r="C36" s="282" t="s">
        <v>263</v>
      </c>
      <c r="D36" s="283"/>
      <c r="E36" s="284"/>
      <c r="F36" s="285" t="s">
        <v>0</v>
      </c>
      <c r="G36" s="286"/>
      <c r="H36" s="287" t="s">
        <v>1</v>
      </c>
      <c r="I36" s="287"/>
      <c r="J36" s="288"/>
      <c r="K36" s="147" t="s">
        <v>2</v>
      </c>
    </row>
    <row r="37" spans="2:11" ht="12.75" customHeight="1" x14ac:dyDescent="0.2">
      <c r="B37" s="252"/>
      <c r="C37" s="276" t="s">
        <v>3</v>
      </c>
      <c r="D37" s="277"/>
      <c r="E37" s="278"/>
      <c r="F37" s="291" t="s">
        <v>4</v>
      </c>
      <c r="G37" s="292"/>
      <c r="H37" s="289" t="s">
        <v>5</v>
      </c>
      <c r="I37" s="289"/>
      <c r="J37" s="290"/>
      <c r="K37" s="148" t="s">
        <v>6</v>
      </c>
    </row>
    <row r="38" spans="2:11" ht="21.6" customHeight="1" x14ac:dyDescent="0.2">
      <c r="B38" s="139" t="s">
        <v>13</v>
      </c>
      <c r="C38" s="266" t="s">
        <v>12</v>
      </c>
      <c r="D38" s="267"/>
      <c r="E38" s="267"/>
      <c r="F38" s="267"/>
      <c r="G38" s="267"/>
      <c r="H38" s="267"/>
      <c r="I38" s="267"/>
      <c r="J38" s="268"/>
      <c r="K38" s="155" t="s">
        <v>7</v>
      </c>
    </row>
    <row r="39" spans="2:11" ht="15.75" customHeight="1" x14ac:dyDescent="0.2">
      <c r="B39" s="269" t="s">
        <v>8</v>
      </c>
      <c r="C39" s="269"/>
      <c r="D39" s="269"/>
      <c r="E39" s="269"/>
      <c r="F39" s="269"/>
      <c r="G39" s="269"/>
      <c r="H39" s="269"/>
      <c r="I39" s="269"/>
      <c r="J39" s="269"/>
      <c r="K39" s="270"/>
    </row>
    <row r="40" spans="2:11" ht="16.5" customHeight="1" x14ac:dyDescent="0.2">
      <c r="B40" s="269" t="s">
        <v>9</v>
      </c>
      <c r="C40" s="269"/>
      <c r="D40" s="269"/>
      <c r="E40" s="269"/>
      <c r="F40" s="269"/>
      <c r="G40" s="269"/>
      <c r="H40" s="269"/>
      <c r="I40" s="269"/>
      <c r="J40" s="269"/>
      <c r="K40" s="270"/>
    </row>
  </sheetData>
  <sheetProtection password="F7AF" sheet="1" objects="1" scenarios="1"/>
  <mergeCells count="53">
    <mergeCell ref="B40:K40"/>
    <mergeCell ref="D35:E35"/>
    <mergeCell ref="F35:G35"/>
    <mergeCell ref="H35:J35"/>
    <mergeCell ref="B36:B37"/>
    <mergeCell ref="C36:E36"/>
    <mergeCell ref="F36:G36"/>
    <mergeCell ref="H36:J36"/>
    <mergeCell ref="H37:J37"/>
    <mergeCell ref="F37:G37"/>
    <mergeCell ref="K31:K32"/>
    <mergeCell ref="H33:J34"/>
    <mergeCell ref="K33:K34"/>
    <mergeCell ref="C38:J38"/>
    <mergeCell ref="B39:K39"/>
    <mergeCell ref="B33:B34"/>
    <mergeCell ref="C33:C34"/>
    <mergeCell ref="D33:E33"/>
    <mergeCell ref="F33:G34"/>
    <mergeCell ref="C37:E37"/>
    <mergeCell ref="D29:E29"/>
    <mergeCell ref="F29:G29"/>
    <mergeCell ref="H29:J29"/>
    <mergeCell ref="H30:J30"/>
    <mergeCell ref="B31:B32"/>
    <mergeCell ref="C31:C32"/>
    <mergeCell ref="D31:E32"/>
    <mergeCell ref="F31:G31"/>
    <mergeCell ref="H31:J31"/>
    <mergeCell ref="D30:E30"/>
    <mergeCell ref="F30:G30"/>
    <mergeCell ref="D27:E27"/>
    <mergeCell ref="F27:G27"/>
    <mergeCell ref="H27:J27"/>
    <mergeCell ref="D28:E28"/>
    <mergeCell ref="F28:G28"/>
    <mergeCell ref="H28:J28"/>
    <mergeCell ref="B25:B26"/>
    <mergeCell ref="C25:C26"/>
    <mergeCell ref="D25:E26"/>
    <mergeCell ref="F25:G26"/>
    <mergeCell ref="B2:S2"/>
    <mergeCell ref="B7:C7"/>
    <mergeCell ref="C9:K9"/>
    <mergeCell ref="C10:K10"/>
    <mergeCell ref="B23:B24"/>
    <mergeCell ref="D23:E24"/>
    <mergeCell ref="F23:G23"/>
    <mergeCell ref="H23:J24"/>
    <mergeCell ref="K23:K24"/>
    <mergeCell ref="F24:G24"/>
    <mergeCell ref="H25:J25"/>
    <mergeCell ref="K25:K26"/>
  </mergeCells>
  <phoneticPr fontId="0" type="noConversion"/>
  <printOptions horizontalCentered="1" verticalCentered="1"/>
  <pageMargins left="0.59055118110236227" right="0.59055118110236227" top="0.78740157480314965" bottom="0.78740157480314965" header="0.51181102362204722" footer="0.51181102362204722"/>
  <pageSetup paperSize="9" firstPageNumber="0" orientation="portrait" cellComments="asDisplayed" horizontalDpi="300" verticalDpi="300" r:id="rId1"/>
  <headerFooter alignWithMargins="0"/>
  <drawing r:id="rId2"/>
  <legacyDrawing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86</vt:i4>
      </vt:variant>
    </vt:vector>
  </HeadingPairs>
  <TitlesOfParts>
    <vt:vector size="93" baseType="lpstr">
      <vt:lpstr>Accueil</vt:lpstr>
      <vt:lpstr>Etalonnage</vt:lpstr>
      <vt:lpstr>10 Km 5 ent.</vt:lpstr>
      <vt:lpstr>10 Km 4 ent.</vt:lpstr>
      <vt:lpstr>10 Km 3 ent.</vt:lpstr>
      <vt:lpstr>constantes</vt:lpstr>
      <vt:lpstr>VMA</vt:lpstr>
      <vt:lpstr>_vo2</vt:lpstr>
      <vt:lpstr>al_marathon</vt:lpstr>
      <vt:lpstr>al_semi</vt:lpstr>
      <vt:lpstr>allure_vma</vt:lpstr>
      <vt:lpstr>allure_vma_sec</vt:lpstr>
      <vt:lpstr>cat_km</vt:lpstr>
      <vt:lpstr>cat_kmh</vt:lpstr>
      <vt:lpstr>cat_object</vt:lpstr>
      <vt:lpstr>cat_sec</vt:lpstr>
      <vt:lpstr>cat_test_3</vt:lpstr>
      <vt:lpstr>cat_vitesse</vt:lpstr>
      <vt:lpstr>D_test</vt:lpstr>
      <vt:lpstr>dist_marathon</vt:lpstr>
      <vt:lpstr>dist_semi</vt:lpstr>
      <vt:lpstr>dist_vma</vt:lpstr>
      <vt:lpstr>dist_vma_min</vt:lpstr>
      <vt:lpstr>facile</vt:lpstr>
      <vt:lpstr>fc_100</vt:lpstr>
      <vt:lpstr>fc_1000</vt:lpstr>
      <vt:lpstr>fc_1200</vt:lpstr>
      <vt:lpstr>fc_150</vt:lpstr>
      <vt:lpstr>fc_200</vt:lpstr>
      <vt:lpstr>fc_300</vt:lpstr>
      <vt:lpstr>fc_3000</vt:lpstr>
      <vt:lpstr>fc_400</vt:lpstr>
      <vt:lpstr>fc_500</vt:lpstr>
      <vt:lpstr>fc_800</vt:lpstr>
      <vt:lpstr>fc_900</vt:lpstr>
      <vt:lpstr>fc_competition</vt:lpstr>
      <vt:lpstr>fc_marathon</vt:lpstr>
      <vt:lpstr>fc_max</vt:lpstr>
      <vt:lpstr>fc_repos</vt:lpstr>
      <vt:lpstr>fc_reserve</vt:lpstr>
      <vt:lpstr>fc_semi</vt:lpstr>
      <vt:lpstr>fc_vma</vt:lpstr>
      <vt:lpstr>fc_x</vt:lpstr>
      <vt:lpstr>ind_vma</vt:lpstr>
      <vt:lpstr>k_10</vt:lpstr>
      <vt:lpstr>k_aero</vt:lpstr>
      <vt:lpstr>k_anaero</vt:lpstr>
      <vt:lpstr>K_facile</vt:lpstr>
      <vt:lpstr>k_marat</vt:lpstr>
      <vt:lpstr>k_recup</vt:lpstr>
      <vt:lpstr>k_semi</vt:lpstr>
      <vt:lpstr>K_test</vt:lpstr>
      <vt:lpstr>k_vma</vt:lpstr>
      <vt:lpstr>marathon</vt:lpstr>
      <vt:lpstr>mdate</vt:lpstr>
      <vt:lpstr>objectif</vt:lpstr>
      <vt:lpstr>Puls</vt:lpstr>
      <vt:lpstr>R_100</vt:lpstr>
      <vt:lpstr>R_1000</vt:lpstr>
      <vt:lpstr>R_200</vt:lpstr>
      <vt:lpstr>R_300</vt:lpstr>
      <vt:lpstr>R_400</vt:lpstr>
      <vt:lpstr>R_500</vt:lpstr>
      <vt:lpstr>rapport</vt:lpstr>
      <vt:lpstr>recup</vt:lpstr>
      <vt:lpstr>'10 Km 3 ent.'!serie_100</vt:lpstr>
      <vt:lpstr>'10 Km 5 ent.'!serie_100</vt:lpstr>
      <vt:lpstr>serie_100</vt:lpstr>
      <vt:lpstr>seuil</vt:lpstr>
      <vt:lpstr>T_100</vt:lpstr>
      <vt:lpstr>T_1000</vt:lpstr>
      <vt:lpstr>T_10k</vt:lpstr>
      <vt:lpstr>t_200</vt:lpstr>
      <vt:lpstr>T_300</vt:lpstr>
      <vt:lpstr>t_3000</vt:lpstr>
      <vt:lpstr>T_400</vt:lpstr>
      <vt:lpstr>t_4000</vt:lpstr>
      <vt:lpstr>T_500</vt:lpstr>
      <vt:lpstr>T_semi</vt:lpstr>
      <vt:lpstr>t_th_marathon</vt:lpstr>
      <vt:lpstr>t_x</vt:lpstr>
      <vt:lpstr>VMA!TABLE</vt:lpstr>
      <vt:lpstr>VMA!TABLE_2</vt:lpstr>
      <vt:lpstr>VMA!TABLE_3</vt:lpstr>
      <vt:lpstr>VMA!TABLE_4</vt:lpstr>
      <vt:lpstr>VMA!TABLE_5</vt:lpstr>
      <vt:lpstr>theo_marathon</vt:lpstr>
      <vt:lpstr>v_vma</vt:lpstr>
      <vt:lpstr>v_vma_obj_kmh</vt:lpstr>
      <vt:lpstr>vma_1000_obj</vt:lpstr>
      <vt:lpstr>VMA_kmh</vt:lpstr>
      <vt:lpstr>vma_obj_km</vt:lpstr>
      <vt:lpstr>z_travail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Préparation 10 KM</dc:title>
  <dc:subject>Logiciel Zatopek.be</dc:subject>
  <dc:creator>Roger IGO</dc:creator>
  <cp:lastModifiedBy>naim.schneyders</cp:lastModifiedBy>
  <cp:revision>1</cp:revision>
  <cp:lastPrinted>2008-04-28T17:59:09Z</cp:lastPrinted>
  <dcterms:created xsi:type="dcterms:W3CDTF">2002-01-09T20:52:19Z</dcterms:created>
  <dcterms:modified xsi:type="dcterms:W3CDTF">2014-02-14T14:26:10Z</dcterms:modified>
</cp:coreProperties>
</file>